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Risikoanalyse\"/>
    </mc:Choice>
  </mc:AlternateContent>
  <xr:revisionPtr revIDLastSave="0" documentId="13_ncr:1_{82F771B5-3978-4504-B325-EF56E594F10D}" xr6:coauthVersionLast="45" xr6:coauthVersionMax="45" xr10:uidLastSave="{00000000-0000-0000-0000-000000000000}"/>
  <bookViews>
    <workbookView xWindow="-120" yWindow="-120" windowWidth="29040" windowHeight="15840" tabRatio="770" xr2:uid="{00000000-000D-0000-FFFF-FFFF00000000}"/>
  </bookViews>
  <sheets>
    <sheet name="Dateneingabe (HIER BEFÜLLEN!)" sheetId="14" r:id="rId1"/>
    <sheet name="Risiko für Deutschland" sheetId="22" r:id="rId2"/>
    <sheet name="Risiko für Bundesland" sheetId="23" r:id="rId3"/>
    <sheet name="Risiko für Landkreis, Stadt" sheetId="24" r:id="rId4"/>
    <sheet name="Würdigung - FAZIT" sheetId="12" r:id="rId5"/>
    <sheet name="allg.Daten" sheetId="7" r:id="rId6"/>
    <sheet name="Covid19+Lotto" sheetId="26" r:id="rId7"/>
  </sheets>
  <definedNames>
    <definedName name="_xlnm.Print_Area" localSheetId="0">'Dateneingabe (HIER BEFÜLLEN!)'!$B$2:$H$48</definedName>
    <definedName name="_xlnm.Print_Area" localSheetId="2">'Risiko für Bundesland'!$B$2:$J$47</definedName>
    <definedName name="_xlnm.Print_Area" localSheetId="1">'Risiko für Deutschland'!$B$1:$J$45</definedName>
    <definedName name="_xlnm.Print_Area" localSheetId="3">'Risiko für Landkreis, Stadt'!$B$2:$J$49</definedName>
    <definedName name="Print_Area" localSheetId="5">allg.Daten!$B$3:$J$26</definedName>
    <definedName name="Print_Area" localSheetId="0">'Dateneingabe (HIER BEFÜLLEN!)'!$B$2:$H$48</definedName>
    <definedName name="Print_Area" localSheetId="2">'Risiko für Bundesland'!$B$2:$J$47</definedName>
    <definedName name="Print_Area" localSheetId="1">'Risiko für Deutschland'!$B$1:$J$45</definedName>
    <definedName name="Print_Area" localSheetId="3">'Risiko für Landkreis, Stadt'!$B$2:$J$49</definedName>
    <definedName name="Print_Area" localSheetId="4">'Würdigung - FAZIT'!$C$2:$F$39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6" l="1"/>
  <c r="C8" i="26"/>
  <c r="C9" i="26"/>
  <c r="C11" i="26"/>
  <c r="C13" i="26"/>
  <c r="C14" i="26"/>
  <c r="C15" i="26"/>
  <c r="C17" i="26"/>
  <c r="C18" i="26"/>
  <c r="C19" i="26"/>
  <c r="C21" i="26"/>
  <c r="C22" i="26"/>
  <c r="C23" i="26"/>
  <c r="C24" i="26"/>
  <c r="C25" i="26"/>
  <c r="C27" i="26"/>
  <c r="C28" i="26"/>
  <c r="C29" i="26"/>
  <c r="C31" i="26"/>
  <c r="C32" i="26"/>
  <c r="C33" i="26"/>
  <c r="C34" i="26"/>
  <c r="C36" i="26"/>
  <c r="C37" i="26"/>
  <c r="C38" i="26"/>
  <c r="C39" i="26"/>
  <c r="C40" i="26"/>
  <c r="C41" i="26"/>
  <c r="C43" i="26"/>
  <c r="C44" i="26"/>
  <c r="C45" i="26"/>
  <c r="C46" i="26"/>
  <c r="C47" i="26"/>
  <c r="C6" i="26"/>
  <c r="E39" i="12"/>
  <c r="I45" i="22"/>
  <c r="F13" i="23" l="1"/>
  <c r="F14" i="23"/>
  <c r="F12" i="23"/>
  <c r="E42" i="14" l="1"/>
  <c r="F13" i="24" l="1"/>
  <c r="F12" i="24"/>
  <c r="G12" i="24" s="1"/>
  <c r="F7" i="24"/>
  <c r="G13" i="23"/>
  <c r="G14" i="23"/>
  <c r="G12" i="23"/>
  <c r="G13" i="24" l="1"/>
  <c r="I48" i="24"/>
  <c r="I47" i="24"/>
  <c r="I46" i="24"/>
  <c r="I45" i="24"/>
  <c r="I44" i="24"/>
  <c r="I40" i="24"/>
  <c r="I39" i="24"/>
  <c r="I38" i="24"/>
  <c r="I34" i="24"/>
  <c r="I33" i="24"/>
  <c r="I31" i="24"/>
  <c r="I28" i="24"/>
  <c r="I21" i="24"/>
  <c r="I27" i="24" s="1"/>
  <c r="I19" i="24"/>
  <c r="I18" i="24"/>
  <c r="I15" i="24"/>
  <c r="I14" i="24"/>
  <c r="I13" i="24"/>
  <c r="I12" i="24"/>
  <c r="I11" i="24"/>
  <c r="I5" i="24"/>
  <c r="I46" i="23"/>
  <c r="I45" i="23"/>
  <c r="I44" i="23"/>
  <c r="I43" i="23"/>
  <c r="I42" i="23"/>
  <c r="I38" i="23"/>
  <c r="I37" i="23"/>
  <c r="I36" i="23"/>
  <c r="I32" i="23"/>
  <c r="I31" i="23"/>
  <c r="I29" i="23"/>
  <c r="I26" i="23"/>
  <c r="I24" i="23"/>
  <c r="I23" i="23"/>
  <c r="I28" i="23"/>
  <c r="I34" i="23"/>
  <c r="I40" i="23"/>
  <c r="I21" i="23"/>
  <c r="I19" i="23"/>
  <c r="I18" i="23"/>
  <c r="I13" i="23"/>
  <c r="I15" i="23"/>
  <c r="I14" i="23"/>
  <c r="I12" i="23"/>
  <c r="I42" i="24"/>
  <c r="D42" i="24"/>
  <c r="I36" i="24"/>
  <c r="D36" i="24"/>
  <c r="I30" i="24"/>
  <c r="D30" i="24"/>
  <c r="I23" i="24"/>
  <c r="D23" i="24"/>
  <c r="D18" i="24"/>
  <c r="I17" i="24"/>
  <c r="D17" i="24"/>
  <c r="D40" i="23"/>
  <c r="D34" i="23"/>
  <c r="D28" i="23"/>
  <c r="D23" i="23"/>
  <c r="D18" i="23"/>
  <c r="I17" i="23"/>
  <c r="D17" i="23"/>
  <c r="I11" i="23"/>
  <c r="D11" i="23"/>
  <c r="E10" i="14" l="1"/>
  <c r="E22" i="14" l="1"/>
  <c r="E33" i="14"/>
  <c r="E47" i="14"/>
  <c r="C2" i="24"/>
  <c r="F9" i="24"/>
  <c r="F8" i="24"/>
  <c r="F6" i="24"/>
  <c r="F9" i="23"/>
  <c r="F8" i="23"/>
  <c r="F7" i="23"/>
  <c r="D34" i="22"/>
  <c r="F12" i="22"/>
  <c r="F11" i="22"/>
  <c r="F10" i="22"/>
  <c r="F7" i="22"/>
  <c r="F5" i="22"/>
  <c r="C1" i="22"/>
  <c r="C3" i="23" s="1"/>
  <c r="F6" i="22"/>
  <c r="I39" i="22"/>
  <c r="I33" i="22"/>
  <c r="I23" i="22"/>
  <c r="I18" i="22"/>
  <c r="F20" i="14"/>
  <c r="F19" i="14"/>
  <c r="D40" i="22" s="1"/>
  <c r="G40" i="22" s="1"/>
  <c r="F18" i="14"/>
  <c r="C16" i="14"/>
  <c r="C17" i="14" l="1"/>
  <c r="C18" i="14" s="1"/>
  <c r="C19" i="14" s="1"/>
  <c r="C20" i="14" s="1"/>
  <c r="I28" i="22"/>
  <c r="I25" i="23"/>
  <c r="I37" i="24"/>
  <c r="I35" i="23"/>
  <c r="I41" i="23"/>
  <c r="I43" i="24"/>
  <c r="I20" i="23"/>
  <c r="I20" i="24"/>
  <c r="G11" i="22"/>
  <c r="E40" i="22"/>
  <c r="F40" i="22" s="1"/>
  <c r="F15" i="23"/>
  <c r="G12" i="22"/>
  <c r="F13" i="22"/>
  <c r="F21" i="14"/>
  <c r="G21" i="14" s="1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9" i="7"/>
  <c r="I30" i="23" l="1"/>
  <c r="I32" i="24"/>
  <c r="G15" i="23"/>
  <c r="D20" i="23"/>
  <c r="D19" i="23" s="1"/>
  <c r="G13" i="22"/>
  <c r="D18" i="22"/>
  <c r="E18" i="22" s="1"/>
  <c r="F18" i="22" s="1"/>
  <c r="G18" i="22" l="1"/>
  <c r="F19" i="22"/>
  <c r="D21" i="23"/>
  <c r="G20" i="23"/>
  <c r="G19" i="23" s="1"/>
  <c r="E20" i="23"/>
  <c r="E19" i="23" s="1"/>
  <c r="D19" i="22"/>
  <c r="F20" i="23" l="1"/>
  <c r="F19" i="23" s="1"/>
  <c r="E21" i="23"/>
  <c r="E25" i="23" s="1"/>
  <c r="F23" i="22"/>
  <c r="F28" i="22"/>
  <c r="D25" i="23"/>
  <c r="D30" i="23"/>
  <c r="G21" i="23"/>
  <c r="D23" i="22"/>
  <c r="D28" i="22"/>
  <c r="E19" i="22"/>
  <c r="G19" i="22"/>
  <c r="G28" i="22" s="1"/>
  <c r="F21" i="23" l="1"/>
  <c r="G30" i="23"/>
  <c r="G25" i="23"/>
  <c r="E30" i="23"/>
  <c r="G23" i="22"/>
  <c r="E28" i="22"/>
  <c r="E23" i="22"/>
  <c r="F30" i="23" l="1"/>
  <c r="F25" i="23"/>
  <c r="E34" i="22" l="1"/>
  <c r="G34" i="22"/>
  <c r="F34" i="22" l="1"/>
  <c r="C9" i="14" l="1"/>
  <c r="C28" i="14"/>
  <c r="C29" i="14" s="1"/>
  <c r="C30" i="14" s="1"/>
  <c r="C31" i="14" s="1"/>
  <c r="F29" i="14"/>
  <c r="F30" i="14"/>
  <c r="F31" i="14"/>
  <c r="C38" i="14"/>
  <c r="C39" i="14" s="1"/>
  <c r="C40" i="14" s="1"/>
  <c r="C41" i="14" s="1"/>
  <c r="C42" i="14" s="1"/>
  <c r="C43" i="14" s="1"/>
  <c r="C44" i="14" s="1"/>
  <c r="C45" i="14" s="1"/>
  <c r="C46" i="14" s="1"/>
  <c r="F43" i="14"/>
  <c r="F44" i="14"/>
  <c r="D44" i="24" l="1"/>
  <c r="E44" i="24" s="1"/>
  <c r="F45" i="14"/>
  <c r="E45" i="14" s="1"/>
  <c r="F14" i="24" s="1"/>
  <c r="G14" i="24" s="1"/>
  <c r="F32" i="14"/>
  <c r="G32" i="14" s="1"/>
  <c r="F44" i="24" l="1"/>
  <c r="G44" i="24"/>
  <c r="F46" i="14"/>
  <c r="G46" i="14" s="1"/>
  <c r="I9" i="7"/>
  <c r="I10" i="7"/>
  <c r="I11" i="7"/>
  <c r="I12" i="7"/>
  <c r="I13" i="7"/>
  <c r="I14" i="7"/>
  <c r="G16" i="7"/>
  <c r="I17" i="7"/>
  <c r="F8" i="7"/>
  <c r="I8" i="7" s="1"/>
  <c r="F15" i="24" l="1"/>
  <c r="G10" i="7"/>
  <c r="I16" i="7"/>
  <c r="I15" i="7"/>
  <c r="G12" i="7"/>
  <c r="G13" i="7"/>
  <c r="G11" i="7"/>
  <c r="G17" i="7"/>
  <c r="G15" i="24" l="1"/>
  <c r="D20" i="24"/>
  <c r="H25" i="7"/>
  <c r="E15" i="14" s="1"/>
  <c r="D27" i="22" s="1"/>
  <c r="G19" i="7"/>
  <c r="G20" i="7"/>
  <c r="G22" i="7"/>
  <c r="G23" i="7"/>
  <c r="G24" i="7"/>
  <c r="E27" i="22" l="1"/>
  <c r="D29" i="22"/>
  <c r="E20" i="24"/>
  <c r="D19" i="24"/>
  <c r="D21" i="24" s="1"/>
  <c r="F20" i="24"/>
  <c r="G20" i="24"/>
  <c r="I24" i="7"/>
  <c r="I23" i="7"/>
  <c r="I22" i="7"/>
  <c r="I21" i="7"/>
  <c r="I20" i="7"/>
  <c r="I19" i="7"/>
  <c r="I18" i="7"/>
  <c r="D33" i="22" l="1"/>
  <c r="D35" i="22" s="1"/>
  <c r="D30" i="22"/>
  <c r="F27" i="22"/>
  <c r="E29" i="22"/>
  <c r="E19" i="24"/>
  <c r="E21" i="24" s="1"/>
  <c r="F19" i="24"/>
  <c r="F21" i="24" s="1"/>
  <c r="G19" i="24"/>
  <c r="G21" i="24" s="1"/>
  <c r="D31" i="24"/>
  <c r="D24" i="24"/>
  <c r="D27" i="24"/>
  <c r="D32" i="24"/>
  <c r="I25" i="7"/>
  <c r="E27" i="14" s="1"/>
  <c r="D29" i="23" s="1"/>
  <c r="D36" i="22" l="1"/>
  <c r="D39" i="22"/>
  <c r="D41" i="22" s="1"/>
  <c r="E30" i="22"/>
  <c r="E33" i="22"/>
  <c r="E35" i="22" s="1"/>
  <c r="G27" i="22"/>
  <c r="G29" i="22" s="1"/>
  <c r="F29" i="22"/>
  <c r="D25" i="24"/>
  <c r="F25" i="24" s="1"/>
  <c r="G24" i="24"/>
  <c r="F24" i="24"/>
  <c r="E24" i="24"/>
  <c r="D33" i="24"/>
  <c r="D37" i="24" s="1"/>
  <c r="D38" i="24" s="1"/>
  <c r="G32" i="24"/>
  <c r="G27" i="24"/>
  <c r="F32" i="24"/>
  <c r="F27" i="24"/>
  <c r="E32" i="24"/>
  <c r="E27" i="24"/>
  <c r="G31" i="24"/>
  <c r="E31" i="24"/>
  <c r="F31" i="24"/>
  <c r="G29" i="23"/>
  <c r="G31" i="23" s="1"/>
  <c r="E29" i="23"/>
  <c r="D31" i="23"/>
  <c r="E24" i="7"/>
  <c r="E23" i="7"/>
  <c r="E22" i="7"/>
  <c r="E21" i="7"/>
  <c r="E20" i="7"/>
  <c r="E19" i="7"/>
  <c r="E18" i="7"/>
  <c r="E17" i="7"/>
  <c r="E16" i="7"/>
  <c r="E15" i="7"/>
  <c r="G15" i="7" s="1"/>
  <c r="E14" i="7"/>
  <c r="G14" i="7" s="1"/>
  <c r="E13" i="7"/>
  <c r="E11" i="7"/>
  <c r="E10" i="7"/>
  <c r="E9" i="7"/>
  <c r="E12" i="7"/>
  <c r="D44" i="22" l="1"/>
  <c r="D42" i="22"/>
  <c r="D43" i="22" s="1"/>
  <c r="G30" i="22"/>
  <c r="G33" i="22"/>
  <c r="G35" i="22" s="1"/>
  <c r="E25" i="7"/>
  <c r="E14" i="14" s="1"/>
  <c r="D22" i="22" s="1"/>
  <c r="F30" i="22"/>
  <c r="F33" i="22"/>
  <c r="F35" i="22" s="1"/>
  <c r="E39" i="22"/>
  <c r="E41" i="22" s="1"/>
  <c r="E36" i="22"/>
  <c r="G25" i="24"/>
  <c r="G26" i="24" s="1"/>
  <c r="E25" i="24"/>
  <c r="E26" i="24" s="1"/>
  <c r="F26" i="24"/>
  <c r="D34" i="24"/>
  <c r="E33" i="24"/>
  <c r="E34" i="24" s="1"/>
  <c r="E38" i="24"/>
  <c r="G38" i="24"/>
  <c r="G33" i="24"/>
  <c r="F33" i="24"/>
  <c r="E31" i="23"/>
  <c r="E32" i="23" s="1"/>
  <c r="F29" i="23"/>
  <c r="F31" i="23" s="1"/>
  <c r="F38" i="24"/>
  <c r="D39" i="24"/>
  <c r="D35" i="23"/>
  <c r="D32" i="23"/>
  <c r="G32" i="23"/>
  <c r="G35" i="23"/>
  <c r="G21" i="7"/>
  <c r="G9" i="7"/>
  <c r="G18" i="7"/>
  <c r="F36" i="22" l="1"/>
  <c r="F39" i="22"/>
  <c r="F41" i="22" s="1"/>
  <c r="E22" i="22"/>
  <c r="D24" i="22"/>
  <c r="E42" i="22"/>
  <c r="E43" i="22" s="1"/>
  <c r="E44" i="22"/>
  <c r="G36" i="22"/>
  <c r="G39" i="22"/>
  <c r="G41" i="22" s="1"/>
  <c r="E37" i="24"/>
  <c r="E39" i="24" s="1"/>
  <c r="G34" i="24"/>
  <c r="G37" i="24"/>
  <c r="G39" i="24" s="1"/>
  <c r="D36" i="23"/>
  <c r="F34" i="24"/>
  <c r="F37" i="24"/>
  <c r="F39" i="24" s="1"/>
  <c r="E35" i="23"/>
  <c r="F32" i="23"/>
  <c r="F35" i="23"/>
  <c r="D40" i="24"/>
  <c r="D43" i="24"/>
  <c r="D45" i="24" s="1"/>
  <c r="G25" i="7"/>
  <c r="E26" i="14" s="1"/>
  <c r="D24" i="23" s="1"/>
  <c r="G42" i="22" l="1"/>
  <c r="G43" i="22" s="1"/>
  <c r="G44" i="22"/>
  <c r="F44" i="22"/>
  <c r="F42" i="22"/>
  <c r="F43" i="22" s="1"/>
  <c r="F22" i="22"/>
  <c r="E24" i="22"/>
  <c r="F40" i="24"/>
  <c r="F43" i="24"/>
  <c r="F45" i="24" s="1"/>
  <c r="F46" i="24" s="1"/>
  <c r="F47" i="24" s="1"/>
  <c r="E43" i="24"/>
  <c r="E45" i="24" s="1"/>
  <c r="E40" i="24"/>
  <c r="E36" i="23"/>
  <c r="F36" i="23" s="1"/>
  <c r="F37" i="23" s="1"/>
  <c r="G36" i="23"/>
  <c r="G37" i="23" s="1"/>
  <c r="D37" i="23"/>
  <c r="G40" i="24"/>
  <c r="G43" i="24"/>
  <c r="G45" i="24" s="1"/>
  <c r="G48" i="24" s="1"/>
  <c r="E24" i="23"/>
  <c r="E36" i="14"/>
  <c r="D48" i="24"/>
  <c r="D46" i="24"/>
  <c r="D47" i="24" s="1"/>
  <c r="G22" i="22" l="1"/>
  <c r="G24" i="22" s="1"/>
  <c r="F24" i="22"/>
  <c r="E37" i="23"/>
  <c r="E41" i="23" s="1"/>
  <c r="G46" i="24"/>
  <c r="G47" i="24" s="1"/>
  <c r="F41" i="23"/>
  <c r="F38" i="23"/>
  <c r="D38" i="23"/>
  <c r="D41" i="23"/>
  <c r="G41" i="23"/>
  <c r="G38" i="23"/>
  <c r="E48" i="24"/>
  <c r="E46" i="24"/>
  <c r="E47" i="24" s="1"/>
  <c r="E26" i="23"/>
  <c r="F24" i="23"/>
  <c r="F26" i="23" s="1"/>
  <c r="G24" i="23"/>
  <c r="G26" i="23" s="1"/>
  <c r="D26" i="23"/>
  <c r="F48" i="24"/>
  <c r="D42" i="23" l="1"/>
  <c r="E38" i="23"/>
  <c r="G42" i="23" l="1"/>
  <c r="G43" i="23" s="1"/>
  <c r="E42" i="23"/>
  <c r="D43" i="23"/>
  <c r="G28" i="24"/>
  <c r="F28" i="24"/>
  <c r="E28" i="24"/>
  <c r="D26" i="24"/>
  <c r="D28" i="24" s="1"/>
  <c r="D46" i="23" l="1"/>
  <c r="D44" i="23"/>
  <c r="D45" i="23" s="1"/>
  <c r="F42" i="23"/>
  <c r="F43" i="23" s="1"/>
  <c r="E43" i="23"/>
  <c r="G44" i="23"/>
  <c r="G45" i="23" s="1"/>
  <c r="G46" i="23"/>
  <c r="E46" i="23" l="1"/>
  <c r="E44" i="23"/>
  <c r="E45" i="23" s="1"/>
  <c r="F46" i="23"/>
  <c r="F44" i="23"/>
  <c r="F45" i="23" s="1"/>
</calcChain>
</file>

<file path=xl/sharedStrings.xml><?xml version="1.0" encoding="utf-8"?>
<sst xmlns="http://schemas.openxmlformats.org/spreadsheetml/2006/main" count="401" uniqueCount="177">
  <si>
    <t>:</t>
  </si>
  <si>
    <t>=</t>
  </si>
  <si>
    <t>-</t>
  </si>
  <si>
    <t>x</t>
  </si>
  <si>
    <t>Anzahl Tage pro Jahr</t>
  </si>
  <si>
    <t>corona.rki.de</t>
  </si>
  <si>
    <t>eingeben</t>
  </si>
  <si>
    <t>klicken</t>
  </si>
  <si>
    <t>Reproduktionswert (Anzahl von Menschen, die ein Infizierter neu infiziert)</t>
  </si>
  <si>
    <t>Würdigung der Ergebnisse</t>
  </si>
  <si>
    <t>Anzahl bekannter aktiv-infektiöser Menschen (ohne Infektionsgefahr, da in Quarantäne)</t>
  </si>
  <si>
    <t>Anzahl unbekannter aktiv-infektiöser Menschen (mit Infektionsgefahr, da nicht in Quarantäne)</t>
  </si>
  <si>
    <t>Einwohnerzahl</t>
  </si>
  <si>
    <t>Anteil Todesfälle</t>
  </si>
  <si>
    <t>Grafiken: Alle</t>
  </si>
  <si>
    <t>Grafik: Startseite</t>
  </si>
  <si>
    <t>Angabe fehlt: keine Schätzung unbekannten aktiv infektiöse Infizierte (=mit Infektionsgefahr)</t>
  </si>
  <si>
    <t>Angabe fehlt: Anzahl Genesene</t>
  </si>
  <si>
    <t>Angabe fehlt: Einwohneranzahl Deutschland</t>
  </si>
  <si>
    <t xml:space="preserve">Angabe fehlt: Risikoanalyse </t>
  </si>
  <si>
    <t>Vorbemerkung</t>
  </si>
  <si>
    <t>3. Eine vollständige Feststellung der bloßen Faktenlage ist daher ohne zusätzliche "Nebenrechnungen" nicht möglich.</t>
  </si>
  <si>
    <t>4. Die gewählte Darstellung ist bei wesentlichen Daten unvollständig.</t>
  </si>
  <si>
    <t>5. Eine auch nur näherungsweise Abschätzung des jeweils aktuellen Infektionsrisikos bzw. Sterberisikos fehlt komplett.</t>
  </si>
  <si>
    <t>Sie ist ungeeignet Klarheit über die tatsächliche Faktenlage und das aktuelle Infektionsrisiko zu erhalten.</t>
  </si>
  <si>
    <t>1. Die Erklärung der zuständigen Behörden, dass die "epidemische Lage mit nationaler Tragweite" vorüber ist.</t>
  </si>
  <si>
    <t>3. Die zeitnahe Rückkehr zu "normalen" Lebensverhältnissen für alle Bürger, Unternehmen und Organisationen.</t>
  </si>
  <si>
    <t>2. Die sofortige und ausnahmslose Rücknahme aller gesetzlich verordneten "Schutzmaßnahmen".</t>
  </si>
  <si>
    <t>Bundesland</t>
  </si>
  <si>
    <t>Baden-Württemberg</t>
  </si>
  <si>
    <t>Bayern</t>
  </si>
  <si>
    <t>Niedersachsen</t>
  </si>
  <si>
    <t>Hessen</t>
  </si>
  <si>
    <t>Berlin</t>
  </si>
  <si>
    <t>Rheinland-Pfalz</t>
  </si>
  <si>
    <t>Sachsen</t>
  </si>
  <si>
    <t>Hamburg</t>
  </si>
  <si>
    <t>Brandenburg</t>
  </si>
  <si>
    <t>Thüringen</t>
  </si>
  <si>
    <t>Sachsen-Anhalt</t>
  </si>
  <si>
    <t>Bremen</t>
  </si>
  <si>
    <t>Mecklenburg-Vorpommern</t>
  </si>
  <si>
    <t>Saarland</t>
  </si>
  <si>
    <t>Schleswig-Holstein</t>
  </si>
  <si>
    <t>km²</t>
  </si>
  <si>
    <t>Quelle</t>
  </si>
  <si>
    <t>NRW</t>
  </si>
  <si>
    <t>Kürzel</t>
  </si>
  <si>
    <t>Land</t>
  </si>
  <si>
    <t>Destatis</t>
  </si>
  <si>
    <t>Siedlungs-</t>
  </si>
  <si>
    <t>2.2.</t>
  </si>
  <si>
    <t xml:space="preserve">Die Darstellung ist in wesentlichen Eingabedaten unvollständig und bezüglich der benötigten Aussagefähigkeit intransparent. </t>
  </si>
  <si>
    <t>2. Es ist sachlich nicht nachvollziehbar ist, warum diese Größenordnung aktuell als "epidemische Lage mit nationaler Tragweite" klassifiziert ist.</t>
  </si>
  <si>
    <t>5. Mein rechnerisches zeitliches Sterberisiko liegt durchschnittlich bei vielen Jahren und ist somit sehr gering.</t>
  </si>
  <si>
    <t>3. Der räumliche Bereich in dem sich 1 infektiöser Infizierter befindet ist sehr groß. Mein räumliches Begegnungsrisiko ist somit sehr gering.</t>
  </si>
  <si>
    <t>6. Mein Infektions- und das Sterberisiko ist daher insgesamt "sehr gering", anders ausgedrückt "sehr unwahrscheinlich".</t>
  </si>
  <si>
    <t>7. Ein besonderes Gefährdungsrisiko, das über meine normalen Lebensrisiken hinausgeht, ist für mich weder erkennbar noch logisch fehlerfrei ableitbar.</t>
  </si>
  <si>
    <t>10. Diese Erkenntnisse gelten nicht nur für mich persönlich, sondern lassen sich berechtigt auf die gesamte Bevölkerung übertragen.</t>
  </si>
  <si>
    <t>Mein Fazit lautet daher</t>
  </si>
  <si>
    <t>Die aktuelle Datenlage enthält für mich keine sachlichen Argumente, um Angst vor einer Infektion mit Covid-19 haben zu können.</t>
  </si>
  <si>
    <t>Die amtliche Klassifizierung "epidemische Lage mit nationaler Tragweite" lässt sich nicht sachlich aus der Datenlage begründen.</t>
  </si>
  <si>
    <t>Die Fortführung von Schutzmaßnahmen aller Art ist für mich sachlich nicht nachvollziehbar. Logisch folgerichtig wäre vielmehr:</t>
  </si>
  <si>
    <t>Wikipedia</t>
  </si>
  <si>
    <t>Schätzung</t>
  </si>
  <si>
    <t>Siedl.-</t>
  </si>
  <si>
    <t>flächen</t>
  </si>
  <si>
    <t>%</t>
  </si>
  <si>
    <t>km² Siedlungsflächen</t>
  </si>
  <si>
    <t>Grafik: Landkreise</t>
  </si>
  <si>
    <t>Baden-W.</t>
  </si>
  <si>
    <t>Meckl.-V.</t>
  </si>
  <si>
    <t>Nieders.</t>
  </si>
  <si>
    <t>Rheinl.-P.</t>
  </si>
  <si>
    <t>Sachs.-A.</t>
  </si>
  <si>
    <t>Schl.-Hol.</t>
  </si>
  <si>
    <t>Brandenb.</t>
  </si>
  <si>
    <t>1. Die tatsächlich aktive Infektionszahl liegt im Verhältnis zur Gesamteinwohnerzahl deutlich unter 0,1 % und ist daher als sehr niedrig zu bezeichnen.</t>
  </si>
  <si>
    <t>Landkreis, Stadt</t>
  </si>
  <si>
    <t>Bundesländer</t>
  </si>
  <si>
    <t>auswählen</t>
  </si>
  <si>
    <t>Auswahlliste</t>
  </si>
  <si>
    <t>I.</t>
  </si>
  <si>
    <t>II.</t>
  </si>
  <si>
    <t>III.</t>
  </si>
  <si>
    <t>Geben Sie das aktuelle "Datum" ein.</t>
  </si>
  <si>
    <t>Datum</t>
  </si>
  <si>
    <t>Anzahl</t>
  </si>
  <si>
    <t>Klicken Sie auf den Link. Suchen Sie auf Wikipedia nach Ihrem Landkreis bzw. Ihrer Stadt. Entnehmen Sie dort die folgenden Daten</t>
  </si>
  <si>
    <t>Geben Sie die "Einwohnerzahl" Ihres Landkreises bzw. Ihrer Stadt ein. (Steht im Kasten rechts bei Wikipedia.)</t>
  </si>
  <si>
    <t>Klicken Sie auf den Link und gehen Sie zum RKI-Dashboard. Entnehmen Sie dort die folgenden Daten für Ihren Landkreis bzw. Stadt.</t>
  </si>
  <si>
    <t>Die "Einwohnerzahl" wird automatisch eingetragen.</t>
  </si>
  <si>
    <t>Wählen Sie Ihr Bundesland und geben Sie die notwendigen Daten aus dem RKI-Dashboard ein</t>
  </si>
  <si>
    <t>Die Größe der "Siedlungsgebietflächen" wird automatisch eingetragen.</t>
  </si>
  <si>
    <t>Geben Sie die "Fläche in km²" Ihres Landkreises bzw. Ihrer Stadt ein. (Steht im Kasten rechts bei Wikipedia.)</t>
  </si>
  <si>
    <t>Geben Sie den "Anteil des Siedlungsgebiets" in Prozent von dieser km²-Zahl ein. (Schätzen Sie frei oder holen Sie eine Auskunft ein.)</t>
  </si>
  <si>
    <t>Klicken Sie auf das grüne Feld, dann auf das kleine, graue Dreieck rechts daneben. Wählen Sie in der Auswahliste Ihr Bundesland aus.</t>
  </si>
  <si>
    <t>Geben Sie die Anzahl "Fälle total" aus dem RKI-Dashboard ein.</t>
  </si>
  <si>
    <t>Geben Sie die Anzahl "Todesfälle" aus dem RKI-Dashboard ein.</t>
  </si>
  <si>
    <t>Die Zahl "Genesene" wird automatisch geschätzt.</t>
  </si>
  <si>
    <t>RKI-Dashboard</t>
  </si>
  <si>
    <t>Geben Sie den Namen Ihres Landkreises bzw. Stadt ein. (Sie können auch eigene Kürzel verwenden.)</t>
  </si>
  <si>
    <t>tägl. Kontakte</t>
  </si>
  <si>
    <t>Autor: www.uwe-loose.de</t>
  </si>
  <si>
    <t xml:space="preserve">Dateneingabe </t>
  </si>
  <si>
    <t xml:space="preserve">Anzahl bekannter infektiöser Menschen </t>
  </si>
  <si>
    <t>1.1.</t>
  </si>
  <si>
    <t>1.2.</t>
  </si>
  <si>
    <t>Anzahl unbekannter infektiöser Menschen</t>
  </si>
  <si>
    <t xml:space="preserve">Größe der Einwohnergruppe </t>
  </si>
  <si>
    <t xml:space="preserve">Größe des Siedlungsgebietes </t>
  </si>
  <si>
    <t>3.1.</t>
  </si>
  <si>
    <t>3.2.</t>
  </si>
  <si>
    <t>räumliches Gebiet</t>
  </si>
  <si>
    <t>Füllen Sie die grünen Felder von Oben nach Unten aus</t>
  </si>
  <si>
    <t>Aktuelles Datum und Anzahl Ihrer persönlichen Nahkontakte eintragen</t>
  </si>
  <si>
    <t>Tragen Sie die Anzahl "Fälle total" aus dem RKI-Dashboard ein.</t>
  </si>
  <si>
    <t>Tragen Sie die Anzahl "Todesfälle total" aus dem RKI-Dashboard ein.</t>
  </si>
  <si>
    <t>Tragen Sie die Anzahl "Genesene" aus dem RKI-Dashboard ein.</t>
  </si>
  <si>
    <t>(auf Basis der tagesaktuellen RKI-Daten und nur gültig bis zur Veröffentlichung der nächsten RKI-Daten)</t>
  </si>
  <si>
    <t>Schätzen Sie die Anzahl der Nahkontakte (&lt; als 1,5 m) zu Menschen (außerhalb Ihrer Wohnung), die Sie "Heute" vermutlich haben werden.</t>
  </si>
  <si>
    <t>Szenarien für den Reproduktionsfaktor (bis zur Veröffentlichung der nächsten RKI-Daten, d.h. "Morgen")</t>
  </si>
  <si>
    <t xml:space="preserve">Mein Infektionsrisiko für "Heute" </t>
  </si>
  <si>
    <t>Mein Sterberisiko für "Heute"</t>
  </si>
  <si>
    <t>Anzahl der Tage bis die Anzahl der unbekannten infektiösen Kontakte so groß wäre, dass rechnerisch mein Todesfall zu erwarten ist</t>
  </si>
  <si>
    <t>Anzahl der Jahre bis die Anzahl der unbekannten infektiösen Kontakte so groß wäre, dass rechnerisch mein Todesfall zu erwarten ist</t>
  </si>
  <si>
    <t>Größe der Einwohnergruppe in der sich durchschnittlich je 1 unbekannter infektiöser Mensch befindet</t>
  </si>
  <si>
    <t>km² Siedlungsgebiet in dem sich durchschnittlich je 1 unbekannter infektiöser Mensch befindet</t>
  </si>
  <si>
    <t>Anzahl von Tagen, die ich durchschnittlich benötigen würde, um mit 1 unbekannten infektiösen Menschen in Nahkontakt (&lt;1,5 m) zu kommen</t>
  </si>
  <si>
    <t>Anteil der unbekannt infektiösen Menschen an der Einwohnergruppe</t>
  </si>
  <si>
    <t>geschätzte Anzahl der Nahkontakte (&lt;1,5 m), die ich "Heute" haben werde</t>
  </si>
  <si>
    <t>Deutschland</t>
  </si>
  <si>
    <t>Geben Sie für Deutschland die notwendigen Daten aus dem RKI-Dashboard ein</t>
  </si>
  <si>
    <t>Das Land kann nicht verändert werden.</t>
  </si>
  <si>
    <t>IV.</t>
  </si>
  <si>
    <t>Schätzung meines persönlichen Covid-19 Infektions- und Sterberisikos (für "Heute") - extended Version</t>
  </si>
  <si>
    <t>Fälle total</t>
  </si>
  <si>
    <t>Todesfälle</t>
  </si>
  <si>
    <t>Genesene</t>
  </si>
  <si>
    <t>2.1.</t>
  </si>
  <si>
    <t>Geben Sie die notwendigen Daten für Ihren Landkreis bzw. Stadt und aus dem RKI-Dashboard ein</t>
  </si>
  <si>
    <t>1. In allen Grafiken des RKI-Dashboards fehlen wesentliche Kennziffern, die für eine sachgerechte Beurteilung der Datenlage unumgänglich sind.</t>
  </si>
  <si>
    <t>Ich unterstelle, dass die veröffentlichten Daten des RKI-Dashbords ohne wertrelevante Fehler sind.</t>
  </si>
  <si>
    <t>Vorkontrolle</t>
  </si>
  <si>
    <t>Voraussetzung ist, dass der Eingabebereich "Bundesland" ausfüllt wurde.</t>
  </si>
  <si>
    <t>frei geschätzte Spanne des R-Werts für "Morgen"</t>
  </si>
  <si>
    <t>Einwohnergruppe in der sich durchschnittlich je 1 unbekannter infektiöser Mensch befindet</t>
  </si>
  <si>
    <t>Siedlungsgebiet in km², in der sich im Durchschnitt je 1 unbekannter infektiöser Mensch befindet</t>
  </si>
  <si>
    <t>Wahrscheinlichkeit in Tagen (kalkulatorisch) und Prozent</t>
  </si>
  <si>
    <t>Wahrscheinlichkeit in Jahren (kalkulatorisch) und Prozent</t>
  </si>
  <si>
    <t>im räumlichen Gebiet in Quarantäne, d.h. ohne Infektionsgefahr für mich</t>
  </si>
  <si>
    <t>im räumlichen Gebiet nicht in Quarantäne, d.h. mit Infektionsgefahr für mich</t>
  </si>
  <si>
    <t>Anteil des Siedlungsgebietes in Prozent</t>
  </si>
  <si>
    <t>km² Gesamtfläche</t>
  </si>
  <si>
    <t>Landkreis,Stadt</t>
  </si>
  <si>
    <t>Angabe fehlt: Anzahl bekannte aktiv infektiöse Infizierte (=ohne Infektionsgefahr und in Quarantäne)</t>
  </si>
  <si>
    <t>2. Insbesondere fehlen Angaben zu der maßgeblichen Risikoquelle, nämlich der Anzahl der aktiv infektiösen Infizierten, die nicht in Quarantäne sind.</t>
  </si>
  <si>
    <t>4. Der Zeitraum in dem ich auf 1 infektiösen Infizierten treffen kann ist statistisch sehr lang. Mein zeitliches Begegnungsrisiko ist somit sehr gering.</t>
  </si>
  <si>
    <t xml:space="preserve">8. Es gibt für mich daher keinen sachlichen Grund mehr mich vor einer Infektion mi Covid-19 zu fürchten. </t>
  </si>
  <si>
    <t>9.  Ich kann nicht erkennen welche Sinn Schutzmaßnahmen für mich haben sollen, wenn ich fast keine realistische Chance habe einem Infizierten zu begegnen.</t>
  </si>
  <si>
    <t>Richtige</t>
  </si>
  <si>
    <t>+ Superzahl</t>
  </si>
  <si>
    <t>Klasse</t>
  </si>
  <si>
    <t>Wahrscheinlichkeit</t>
  </si>
  <si>
    <t>Infektions- bzw. Sterberisiko</t>
  </si>
  <si>
    <t>Covid-19</t>
  </si>
  <si>
    <t>Lotto (6 aus 49)</t>
  </si>
  <si>
    <t>Gewinnwahrscheinlichkeit</t>
  </si>
  <si>
    <t>Vergleich der Covid-19-Risiken mit Lottogewinnchancen</t>
  </si>
  <si>
    <t>Mein Infektionsrisiko für "Heute" (= meine Anzahl von Nahkontakten "Heute" : Größe der Einwohnergruppe) [siehe auch Covid19+Lotto]</t>
  </si>
  <si>
    <t>Mein Sterberisiko für "Heute" (= Mein Infektionsrisiko für "Heute" x Anteil Todesfälle) [siehe auch Covid19+Lotto]</t>
  </si>
  <si>
    <t>Datum = 'Heute', dann klicken Sie auf den Link und öffnen Sie das RKI-Dashboard. Entnehmen Sie dort die folgenden Daten für Deutschland.</t>
  </si>
  <si>
    <t>Datum = älter als 'Heute', dann klicken Sie auf den Link und öffnen Sie das RKI-'Aktueller Lage-/Situationsbericht'.</t>
  </si>
  <si>
    <t>historische Daten</t>
  </si>
  <si>
    <t>RKI-Lageberichte</t>
  </si>
  <si>
    <t>Klicken Sie auf den Link und öffnen Sie das RKI-Dashboard. Entnehmen Sie dort die folgenden Daten für Ihr Bundesland</t>
  </si>
  <si>
    <t>Münster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</si>
</sst>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000%"/>
    <numFmt numFmtId="166" formatCode="0.000000000000"/>
    <numFmt numFmtId="167" formatCode="0.00000%"/>
    <numFmt numFmtId="168" formatCode="0.000000%"/>
    <numFmt numFmtId="169" formatCode="0.0000000%"/>
    <numFmt numFmtId="170" formatCode="0.000%"/>
  </numFmts>
  <fonts count="2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2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6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3" fontId="5" fillId="2" borderId="0" xfId="0" applyNumberFormat="1" applyFont="1" applyFill="1" applyBorder="1" applyProtection="1">
      <protection locked="0"/>
    </xf>
    <xf numFmtId="3" fontId="8" fillId="2" borderId="0" xfId="0" applyNumberFormat="1" applyFont="1" applyFill="1" applyBorder="1" applyProtection="1">
      <protection locked="0"/>
    </xf>
    <xf numFmtId="3" fontId="6" fillId="2" borderId="11" xfId="0" applyNumberFormat="1" applyFont="1" applyFill="1" applyBorder="1" applyProtection="1"/>
    <xf numFmtId="3" fontId="6" fillId="2" borderId="12" xfId="0" applyNumberFormat="1" applyFont="1" applyFill="1" applyBorder="1" applyProtection="1"/>
    <xf numFmtId="10" fontId="6" fillId="2" borderId="12" xfId="0" applyNumberFormat="1" applyFont="1" applyFill="1" applyBorder="1" applyProtection="1"/>
    <xf numFmtId="4" fontId="6" fillId="2" borderId="12" xfId="0" applyNumberFormat="1" applyFont="1" applyFill="1" applyBorder="1" applyProtection="1"/>
    <xf numFmtId="0" fontId="0" fillId="4" borderId="0" xfId="0" applyFill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/>
    <xf numFmtId="0" fontId="0" fillId="2" borderId="0" xfId="0" applyFont="1" applyFill="1" applyBorder="1" applyAlignment="1" applyProtection="1">
      <alignment horizontal="center"/>
      <protection locked="0"/>
    </xf>
    <xf numFmtId="4" fontId="11" fillId="2" borderId="12" xfId="0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3" fontId="2" fillId="2" borderId="0" xfId="0" applyNumberFormat="1" applyFont="1" applyFill="1" applyBorder="1" applyProtection="1"/>
    <xf numFmtId="3" fontId="11" fillId="2" borderId="0" xfId="0" applyNumberFormat="1" applyFont="1" applyFill="1" applyBorder="1" applyProtection="1"/>
    <xf numFmtId="3" fontId="6" fillId="2" borderId="0" xfId="0" applyNumberFormat="1" applyFont="1" applyFill="1" applyBorder="1" applyProtection="1">
      <protection locked="0"/>
    </xf>
    <xf numFmtId="3" fontId="6" fillId="2" borderId="1" xfId="0" applyNumberFormat="1" applyFont="1" applyFill="1" applyBorder="1" applyProtection="1"/>
    <xf numFmtId="10" fontId="6" fillId="2" borderId="4" xfId="0" applyNumberFormat="1" applyFont="1" applyFill="1" applyBorder="1" applyProtection="1"/>
    <xf numFmtId="3" fontId="6" fillId="2" borderId="8" xfId="0" applyNumberFormat="1" applyFont="1" applyFill="1" applyBorder="1" applyAlignment="1" applyProtection="1">
      <alignment horizontal="right"/>
    </xf>
    <xf numFmtId="3" fontId="6" fillId="2" borderId="15" xfId="0" applyNumberFormat="1" applyFont="1" applyFill="1" applyBorder="1" applyAlignment="1" applyProtection="1">
      <alignment horizontal="right"/>
    </xf>
    <xf numFmtId="3" fontId="6" fillId="2" borderId="4" xfId="0" applyNumberFormat="1" applyFont="1" applyFill="1" applyBorder="1" applyProtection="1"/>
    <xf numFmtId="0" fontId="0" fillId="2" borderId="0" xfId="0" applyFill="1" applyBorder="1"/>
    <xf numFmtId="3" fontId="6" fillId="2" borderId="11" xfId="0" applyNumberFormat="1" applyFont="1" applyFill="1" applyBorder="1" applyAlignment="1" applyProtection="1">
      <alignment horizontal="right"/>
    </xf>
    <xf numFmtId="3" fontId="6" fillId="2" borderId="12" xfId="0" applyNumberFormat="1" applyFont="1" applyFill="1" applyBorder="1" applyAlignment="1" applyProtection="1">
      <alignment horizontal="right"/>
    </xf>
    <xf numFmtId="3" fontId="11" fillId="2" borderId="12" xfId="0" applyNumberFormat="1" applyFont="1" applyFill="1" applyBorder="1" applyAlignment="1" applyProtection="1"/>
    <xf numFmtId="0" fontId="15" fillId="2" borderId="1" xfId="0" applyFont="1" applyFill="1" applyBorder="1"/>
    <xf numFmtId="0" fontId="15" fillId="2" borderId="8" xfId="0" applyFont="1" applyFill="1" applyBorder="1"/>
    <xf numFmtId="0" fontId="15" fillId="2" borderId="4" xfId="0" applyFont="1" applyFill="1" applyBorder="1"/>
    <xf numFmtId="0" fontId="0" fillId="2" borderId="0" xfId="0" applyFill="1"/>
    <xf numFmtId="3" fontId="0" fillId="2" borderId="0" xfId="0" applyNumberFormat="1" applyFill="1" applyBorder="1"/>
    <xf numFmtId="0" fontId="0" fillId="2" borderId="2" xfId="0" applyFill="1" applyBorder="1"/>
    <xf numFmtId="0" fontId="0" fillId="2" borderId="8" xfId="0" applyFill="1" applyBorder="1"/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/>
    <xf numFmtId="0" fontId="0" fillId="2" borderId="12" xfId="0" applyFill="1" applyBorder="1"/>
    <xf numFmtId="3" fontId="0" fillId="2" borderId="14" xfId="0" applyNumberFormat="1" applyFill="1" applyBorder="1"/>
    <xf numFmtId="0" fontId="0" fillId="2" borderId="1" xfId="0" applyFill="1" applyBorder="1" applyAlignment="1">
      <alignment horizontal="center"/>
    </xf>
    <xf numFmtId="0" fontId="7" fillId="2" borderId="6" xfId="1" applyFill="1" applyBorder="1" applyAlignment="1">
      <alignment horizontal="center"/>
    </xf>
    <xf numFmtId="3" fontId="0" fillId="2" borderId="9" xfId="0" applyNumberFormat="1" applyFill="1" applyBorder="1"/>
    <xf numFmtId="0" fontId="0" fillId="2" borderId="9" xfId="0" applyFill="1" applyBorder="1" applyAlignment="1">
      <alignment horizontal="center"/>
    </xf>
    <xf numFmtId="14" fontId="7" fillId="2" borderId="6" xfId="1" applyNumberFormat="1" applyFill="1" applyBorder="1" applyAlignment="1">
      <alignment horizontal="center"/>
    </xf>
    <xf numFmtId="49" fontId="0" fillId="2" borderId="3" xfId="0" applyNumberFormat="1" applyFill="1" applyBorder="1"/>
    <xf numFmtId="10" fontId="6" fillId="2" borderId="11" xfId="0" applyNumberFormat="1" applyFont="1" applyFill="1" applyBorder="1" applyAlignment="1" applyProtection="1"/>
    <xf numFmtId="10" fontId="6" fillId="2" borderId="15" xfId="0" applyNumberFormat="1" applyFont="1" applyFill="1" applyBorder="1" applyAlignment="1" applyProtection="1">
      <alignment horizontal="right"/>
    </xf>
    <xf numFmtId="10" fontId="6" fillId="2" borderId="12" xfId="0" applyNumberFormat="1" applyFont="1" applyFill="1" applyBorder="1" applyAlignment="1" applyProtection="1"/>
    <xf numFmtId="3" fontId="11" fillId="2" borderId="0" xfId="0" applyNumberFormat="1" applyFont="1" applyFill="1" applyBorder="1" applyAlignment="1" applyProtection="1"/>
    <xf numFmtId="10" fontId="11" fillId="2" borderId="0" xfId="0" applyNumberFormat="1" applyFont="1" applyFill="1" applyBorder="1" applyAlignment="1" applyProtection="1"/>
    <xf numFmtId="3" fontId="0" fillId="2" borderId="4" xfId="0" applyNumberFormat="1" applyFill="1" applyBorder="1"/>
    <xf numFmtId="0" fontId="0" fillId="2" borderId="6" xfId="0" applyFill="1" applyBorder="1" applyAlignment="1">
      <alignment horizontal="center"/>
    </xf>
    <xf numFmtId="0" fontId="0" fillId="2" borderId="9" xfId="0" applyFill="1" applyBorder="1"/>
    <xf numFmtId="0" fontId="0" fillId="2" borderId="7" xfId="0" applyFill="1" applyBorder="1"/>
    <xf numFmtId="0" fontId="0" fillId="2" borderId="10" xfId="0" applyFill="1" applyBorder="1"/>
    <xf numFmtId="3" fontId="0" fillId="2" borderId="10" xfId="0" applyNumberFormat="1" applyFill="1" applyBorder="1"/>
    <xf numFmtId="3" fontId="0" fillId="2" borderId="13" xfId="0" applyNumberFormat="1" applyFill="1" applyBorder="1"/>
    <xf numFmtId="3" fontId="0" fillId="2" borderId="5" xfId="0" applyNumberFormat="1" applyFill="1" applyBorder="1" applyAlignment="1">
      <alignment horizontal="right"/>
    </xf>
    <xf numFmtId="0" fontId="7" fillId="2" borderId="11" xfId="1" applyFill="1" applyBorder="1" applyAlignment="1">
      <alignment horizontal="center"/>
    </xf>
    <xf numFmtId="3" fontId="11" fillId="2" borderId="14" xfId="0" applyNumberFormat="1" applyFont="1" applyFill="1" applyBorder="1" applyProtection="1"/>
    <xf numFmtId="4" fontId="11" fillId="2" borderId="14" xfId="0" applyNumberFormat="1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center"/>
      <protection locked="0"/>
    </xf>
    <xf numFmtId="0" fontId="10" fillId="2" borderId="0" xfId="1" applyFont="1" applyFill="1" applyBorder="1" applyAlignment="1" applyProtection="1">
      <alignment horizontal="center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14" fontId="4" fillId="5" borderId="0" xfId="0" applyNumberFormat="1" applyFont="1" applyFill="1" applyBorder="1" applyAlignment="1" applyProtection="1">
      <alignment horizontal="center"/>
      <protection locked="0"/>
    </xf>
    <xf numFmtId="3" fontId="4" fillId="5" borderId="0" xfId="0" applyNumberFormat="1" applyFont="1" applyFill="1" applyBorder="1" applyAlignment="1" applyProtection="1">
      <alignment horizontal="center"/>
      <protection locked="0"/>
    </xf>
    <xf numFmtId="3" fontId="8" fillId="8" borderId="0" xfId="0" applyNumberFormat="1" applyFont="1" applyFill="1" applyBorder="1" applyAlignment="1" applyProtection="1"/>
    <xf numFmtId="0" fontId="7" fillId="2" borderId="0" xfId="1" applyFill="1" applyBorder="1" applyAlignment="1" applyProtection="1">
      <alignment horizontal="center"/>
    </xf>
    <xf numFmtId="164" fontId="4" fillId="5" borderId="0" xfId="0" applyNumberFormat="1" applyFont="1" applyFill="1" applyBorder="1" applyAlignment="1" applyProtection="1">
      <alignment horizontal="right"/>
      <protection locked="0"/>
    </xf>
    <xf numFmtId="0" fontId="8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>
      <alignment horizontal="center"/>
    </xf>
    <xf numFmtId="3" fontId="8" fillId="8" borderId="0" xfId="0" applyNumberFormat="1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/>
    <xf numFmtId="3" fontId="6" fillId="2" borderId="1" xfId="0" applyNumberFormat="1" applyFont="1" applyFill="1" applyBorder="1" applyAlignment="1" applyProtection="1">
      <alignment horizontal="right"/>
    </xf>
    <xf numFmtId="3" fontId="6" fillId="2" borderId="4" xfId="0" applyNumberFormat="1" applyFont="1" applyFill="1" applyBorder="1" applyAlignment="1" applyProtection="1">
      <alignment horizontal="right"/>
    </xf>
    <xf numFmtId="3" fontId="11" fillId="2" borderId="4" xfId="0" applyNumberFormat="1" applyFont="1" applyFill="1" applyBorder="1" applyAlignment="1" applyProtection="1"/>
    <xf numFmtId="10" fontId="11" fillId="2" borderId="12" xfId="0" applyNumberFormat="1" applyFont="1" applyFill="1" applyBorder="1" applyAlignment="1" applyProtection="1"/>
    <xf numFmtId="3" fontId="6" fillId="2" borderId="15" xfId="0" applyNumberFormat="1" applyFont="1" applyFill="1" applyBorder="1" applyProtection="1"/>
    <xf numFmtId="0" fontId="15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5" fillId="2" borderId="2" xfId="0" applyFont="1" applyFill="1" applyBorder="1"/>
    <xf numFmtId="0" fontId="19" fillId="2" borderId="8" xfId="0" applyFont="1" applyFill="1" applyBorder="1"/>
    <xf numFmtId="0" fontId="14" fillId="2" borderId="0" xfId="0" applyFont="1" applyFill="1" applyBorder="1" applyAlignment="1">
      <alignment horizontal="left"/>
    </xf>
    <xf numFmtId="0" fontId="15" fillId="2" borderId="5" xfId="0" applyFont="1" applyFill="1" applyBorder="1"/>
    <xf numFmtId="0" fontId="15" fillId="2" borderId="5" xfId="0" applyFont="1" applyFill="1" applyBorder="1" applyAlignment="1">
      <alignment horizontal="right"/>
    </xf>
    <xf numFmtId="0" fontId="16" fillId="2" borderId="0" xfId="0" applyFont="1" applyFill="1" applyBorder="1"/>
    <xf numFmtId="0" fontId="13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>
      <alignment horizontal="center"/>
    </xf>
    <xf numFmtId="3" fontId="22" fillId="2" borderId="0" xfId="0" applyNumberFormat="1" applyFont="1" applyFill="1" applyBorder="1" applyAlignment="1" applyProtection="1">
      <alignment horizontal="left"/>
    </xf>
    <xf numFmtId="0" fontId="22" fillId="2" borderId="0" xfId="0" applyFont="1" applyFill="1" applyBorder="1"/>
    <xf numFmtId="0" fontId="22" fillId="2" borderId="0" xfId="0" applyFont="1" applyFill="1" applyBorder="1" applyProtection="1"/>
    <xf numFmtId="0" fontId="4" fillId="2" borderId="0" xfId="0" applyFont="1" applyFill="1" applyBorder="1" applyAlignment="1">
      <alignment horizontal="center"/>
    </xf>
    <xf numFmtId="10" fontId="22" fillId="2" borderId="0" xfId="0" applyNumberFormat="1" applyFont="1" applyFill="1" applyBorder="1" applyAlignment="1" applyProtection="1">
      <alignment horizontal="right"/>
    </xf>
    <xf numFmtId="14" fontId="6" fillId="2" borderId="1" xfId="0" applyNumberFormat="1" applyFont="1" applyFill="1" applyBorder="1" applyAlignment="1" applyProtection="1">
      <alignment horizontal="left"/>
    </xf>
    <xf numFmtId="14" fontId="6" fillId="2" borderId="3" xfId="0" applyNumberFormat="1" applyFont="1" applyFill="1" applyBorder="1" applyAlignment="1" applyProtection="1"/>
    <xf numFmtId="14" fontId="6" fillId="2" borderId="8" xfId="0" applyNumberFormat="1" applyFont="1" applyFill="1" applyBorder="1" applyAlignment="1" applyProtection="1"/>
    <xf numFmtId="14" fontId="6" fillId="2" borderId="9" xfId="0" applyNumberFormat="1" applyFont="1" applyFill="1" applyBorder="1" applyAlignment="1" applyProtection="1"/>
    <xf numFmtId="14" fontId="6" fillId="2" borderId="6" xfId="0" applyNumberFormat="1" applyFont="1" applyFill="1" applyBorder="1" applyAlignment="1" applyProtection="1"/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23" fillId="2" borderId="3" xfId="0" applyFont="1" applyFill="1" applyBorder="1"/>
    <xf numFmtId="0" fontId="0" fillId="2" borderId="8" xfId="0" applyFont="1" applyFill="1" applyBorder="1" applyProtection="1">
      <protection locked="0"/>
    </xf>
    <xf numFmtId="0" fontId="23" fillId="2" borderId="9" xfId="0" applyFont="1" applyFill="1" applyBorder="1"/>
    <xf numFmtId="0" fontId="0" fillId="2" borderId="4" xfId="0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22" fillId="2" borderId="5" xfId="0" applyFont="1" applyFill="1" applyBorder="1" applyAlignment="1">
      <alignment horizontal="left"/>
    </xf>
    <xf numFmtId="0" fontId="23" fillId="2" borderId="6" xfId="0" applyFont="1" applyFill="1" applyBorder="1"/>
    <xf numFmtId="0" fontId="8" fillId="2" borderId="5" xfId="0" applyFont="1" applyFill="1" applyBorder="1" applyAlignment="1" applyProtection="1">
      <alignment horizontal="center"/>
    </xf>
    <xf numFmtId="4" fontId="9" fillId="2" borderId="5" xfId="0" applyNumberFormat="1" applyFont="1" applyFill="1" applyBorder="1" applyProtection="1"/>
    <xf numFmtId="0" fontId="0" fillId="2" borderId="5" xfId="0" applyFont="1" applyFill="1" applyBorder="1" applyAlignment="1" applyProtection="1">
      <alignment horizontal="right"/>
      <protection locked="0"/>
    </xf>
    <xf numFmtId="3" fontId="5" fillId="2" borderId="0" xfId="0" applyNumberFormat="1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protection locked="0"/>
    </xf>
    <xf numFmtId="3" fontId="6" fillId="2" borderId="4" xfId="0" applyNumberFormat="1" applyFont="1" applyFill="1" applyBorder="1" applyAlignment="1" applyProtection="1">
      <alignment horizontal="left"/>
    </xf>
    <xf numFmtId="0" fontId="0" fillId="9" borderId="0" xfId="0" applyFill="1"/>
    <xf numFmtId="0" fontId="4" fillId="5" borderId="0" xfId="0" applyFont="1" applyFill="1" applyBorder="1" applyAlignment="1">
      <alignment horizontal="center"/>
    </xf>
    <xf numFmtId="10" fontId="6" fillId="4" borderId="5" xfId="0" applyNumberFormat="1" applyFont="1" applyFill="1" applyBorder="1" applyProtection="1"/>
    <xf numFmtId="10" fontId="6" fillId="4" borderId="0" xfId="0" applyNumberFormat="1" applyFont="1" applyFill="1" applyBorder="1" applyProtection="1">
      <protection hidden="1"/>
    </xf>
    <xf numFmtId="10" fontId="6" fillId="4" borderId="5" xfId="0" applyNumberFormat="1" applyFont="1" applyFill="1" applyBorder="1" applyProtection="1">
      <protection hidden="1"/>
    </xf>
    <xf numFmtId="10" fontId="22" fillId="4" borderId="0" xfId="0" applyNumberFormat="1" applyFont="1" applyFill="1" applyBorder="1" applyAlignment="1" applyProtection="1">
      <alignment horizontal="right"/>
      <protection hidden="1"/>
    </xf>
    <xf numFmtId="10" fontId="6" fillId="4" borderId="5" xfId="0" applyNumberFormat="1" applyFont="1" applyFill="1" applyBorder="1" applyAlignment="1" applyProtection="1">
      <alignment horizontal="right"/>
      <protection hidden="1"/>
    </xf>
    <xf numFmtId="0" fontId="15" fillId="4" borderId="0" xfId="0" applyFont="1" applyFill="1"/>
    <xf numFmtId="0" fontId="19" fillId="4" borderId="0" xfId="0" applyFont="1" applyFill="1"/>
    <xf numFmtId="3" fontId="4" fillId="10" borderId="0" xfId="0" applyNumberFormat="1" applyFont="1" applyFill="1" applyBorder="1" applyAlignment="1" applyProtection="1">
      <alignment horizontal="right"/>
      <protection locked="0" hidden="1"/>
    </xf>
    <xf numFmtId="3" fontId="4" fillId="10" borderId="0" xfId="0" applyNumberFormat="1" applyFont="1" applyFill="1" applyBorder="1" applyAlignment="1" applyProtection="1">
      <alignment horizontal="right"/>
      <protection hidden="1"/>
    </xf>
    <xf numFmtId="0" fontId="12" fillId="6" borderId="0" xfId="0" applyFont="1" applyFill="1" applyBorder="1" applyAlignment="1" applyProtection="1"/>
    <xf numFmtId="0" fontId="12" fillId="6" borderId="0" xfId="0" applyFont="1" applyFill="1" applyBorder="1" applyAlignment="1" applyProtection="1">
      <alignment horizontal="center"/>
    </xf>
    <xf numFmtId="0" fontId="12" fillId="7" borderId="0" xfId="0" applyFont="1" applyFill="1" applyBorder="1" applyAlignment="1"/>
    <xf numFmtId="0" fontId="12" fillId="3" borderId="0" xfId="0" applyFont="1" applyFill="1"/>
    <xf numFmtId="0" fontId="12" fillId="6" borderId="0" xfId="0" applyFont="1" applyFill="1"/>
    <xf numFmtId="3" fontId="12" fillId="6" borderId="0" xfId="0" applyNumberFormat="1" applyFont="1" applyFill="1"/>
    <xf numFmtId="0" fontId="12" fillId="7" borderId="0" xfId="0" applyFont="1" applyFill="1"/>
    <xf numFmtId="0" fontId="0" fillId="2" borderId="0" xfId="0" applyFont="1" applyFill="1" applyBorder="1" applyAlignment="1">
      <alignment horizontal="center"/>
    </xf>
    <xf numFmtId="0" fontId="15" fillId="2" borderId="8" xfId="0" applyFont="1" applyFill="1" applyBorder="1" applyProtection="1">
      <protection locked="0"/>
    </xf>
    <xf numFmtId="0" fontId="12" fillId="3" borderId="0" xfId="0" applyFont="1" applyFill="1" applyBorder="1" applyAlignment="1" applyProtection="1">
      <protection locked="0"/>
    </xf>
    <xf numFmtId="0" fontId="14" fillId="3" borderId="0" xfId="0" applyFont="1" applyFill="1" applyBorder="1"/>
    <xf numFmtId="0" fontId="24" fillId="2" borderId="9" xfId="0" applyFont="1" applyFill="1" applyBorder="1"/>
    <xf numFmtId="0" fontId="15" fillId="9" borderId="0" xfId="0" applyFont="1" applyFill="1"/>
    <xf numFmtId="0" fontId="12" fillId="5" borderId="0" xfId="0" applyFont="1" applyFill="1" applyBorder="1" applyAlignment="1" applyProtection="1"/>
    <xf numFmtId="0" fontId="6" fillId="4" borderId="0" xfId="0" applyFont="1" applyFill="1" applyBorder="1"/>
    <xf numFmtId="0" fontId="6" fillId="4" borderId="0" xfId="1" applyFont="1" applyFill="1" applyBorder="1" applyAlignment="1" applyProtection="1">
      <alignment horizontal="left"/>
    </xf>
    <xf numFmtId="0" fontId="0" fillId="4" borderId="0" xfId="0" applyFont="1" applyFill="1" applyBorder="1"/>
    <xf numFmtId="0" fontId="0" fillId="4" borderId="0" xfId="0" applyFill="1" applyBorder="1"/>
    <xf numFmtId="0" fontId="2" fillId="4" borderId="0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protection locked="0"/>
    </xf>
    <xf numFmtId="0" fontId="0" fillId="4" borderId="0" xfId="0" applyFont="1" applyFill="1" applyBorder="1" applyAlignment="1" applyProtection="1">
      <alignment horizontal="center"/>
    </xf>
    <xf numFmtId="3" fontId="6" fillId="4" borderId="0" xfId="0" applyNumberFormat="1" applyFont="1" applyFill="1" applyBorder="1" applyAlignment="1" applyProtection="1">
      <alignment horizontal="center"/>
    </xf>
    <xf numFmtId="0" fontId="0" fillId="4" borderId="5" xfId="0" applyFont="1" applyFill="1" applyBorder="1" applyAlignment="1" applyProtection="1">
      <alignment horizontal="center"/>
    </xf>
    <xf numFmtId="0" fontId="0" fillId="4" borderId="5" xfId="0" applyFill="1" applyBorder="1"/>
    <xf numFmtId="0" fontId="3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3" fontId="6" fillId="4" borderId="0" xfId="0" applyNumberFormat="1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left"/>
    </xf>
    <xf numFmtId="3" fontId="6" fillId="4" borderId="0" xfId="0" applyNumberFormat="1" applyFont="1" applyFill="1" applyBorder="1" applyAlignment="1" applyProtection="1">
      <alignment horizontal="left"/>
      <protection locked="0"/>
    </xf>
    <xf numFmtId="0" fontId="6" fillId="4" borderId="5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/>
    </xf>
    <xf numFmtId="3" fontId="6" fillId="4" borderId="2" xfId="0" applyNumberFormat="1" applyFont="1" applyFill="1" applyBorder="1" applyProtection="1">
      <protection locked="0"/>
    </xf>
    <xf numFmtId="3" fontId="6" fillId="4" borderId="5" xfId="0" applyNumberFormat="1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6" fillId="4" borderId="0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4" fontId="11" fillId="2" borderId="7" xfId="0" applyNumberFormat="1" applyFont="1" applyFill="1" applyBorder="1" applyProtection="1"/>
    <xf numFmtId="4" fontId="6" fillId="2" borderId="1" xfId="0" applyNumberFormat="1" applyFont="1" applyFill="1" applyBorder="1" applyProtection="1"/>
    <xf numFmtId="4" fontId="6" fillId="2" borderId="11" xfId="0" applyNumberFormat="1" applyFont="1" applyFill="1" applyBorder="1" applyProtection="1"/>
    <xf numFmtId="165" fontId="0" fillId="9" borderId="0" xfId="0" applyNumberFormat="1" applyFill="1"/>
    <xf numFmtId="4" fontId="11" fillId="2" borderId="0" xfId="0" applyNumberFormat="1" applyFont="1" applyFill="1" applyBorder="1" applyProtection="1"/>
    <xf numFmtId="4" fontId="6" fillId="2" borderId="15" xfId="0" applyNumberFormat="1" applyFont="1" applyFill="1" applyBorder="1" applyProtection="1"/>
    <xf numFmtId="0" fontId="8" fillId="8" borderId="0" xfId="0" applyFont="1" applyFill="1" applyBorder="1" applyAlignment="1">
      <alignment horizontal="left"/>
    </xf>
    <xf numFmtId="0" fontId="3" fillId="2" borderId="0" xfId="0" applyFont="1" applyFill="1"/>
    <xf numFmtId="0" fontId="4" fillId="10" borderId="0" xfId="0" applyFont="1" applyFill="1" applyBorder="1" applyAlignment="1" applyProtection="1">
      <alignment horizontal="center"/>
      <protection locked="0"/>
    </xf>
    <xf numFmtId="3" fontId="0" fillId="2" borderId="16" xfId="0" applyNumberFormat="1" applyFill="1" applyBorder="1"/>
    <xf numFmtId="0" fontId="4" fillId="6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3" fontId="4" fillId="4" borderId="0" xfId="0" applyNumberFormat="1" applyFont="1" applyFill="1" applyBorder="1" applyAlignment="1" applyProtection="1">
      <alignment horizontal="center"/>
    </xf>
    <xf numFmtId="3" fontId="4" fillId="4" borderId="0" xfId="0" applyNumberFormat="1" applyFont="1" applyFill="1" applyBorder="1" applyAlignment="1" applyProtection="1">
      <alignment horizontal="right"/>
    </xf>
    <xf numFmtId="0" fontId="3" fillId="4" borderId="0" xfId="0" applyFont="1" applyFill="1" applyBorder="1" applyAlignment="1">
      <alignment horizontal="left"/>
    </xf>
    <xf numFmtId="3" fontId="5" fillId="4" borderId="0" xfId="0" applyNumberFormat="1" applyFont="1" applyFill="1" applyBorder="1" applyAlignment="1" applyProtection="1">
      <alignment horizontal="left"/>
    </xf>
    <xf numFmtId="10" fontId="22" fillId="4" borderId="0" xfId="0" applyNumberFormat="1" applyFont="1" applyFill="1" applyBorder="1" applyAlignment="1" applyProtection="1">
      <alignment horizontal="right"/>
    </xf>
    <xf numFmtId="0" fontId="4" fillId="4" borderId="0" xfId="0" applyFont="1" applyFill="1" applyBorder="1" applyAlignment="1">
      <alignment horizontal="center"/>
    </xf>
    <xf numFmtId="0" fontId="22" fillId="4" borderId="0" xfId="0" applyFont="1" applyFill="1" applyBorder="1"/>
    <xf numFmtId="0" fontId="22" fillId="4" borderId="0" xfId="0" applyFont="1" applyFill="1" applyBorder="1" applyProtection="1"/>
    <xf numFmtId="0" fontId="22" fillId="4" borderId="0" xfId="0" applyFont="1" applyFill="1" applyBorder="1" applyAlignment="1">
      <alignment horizontal="center"/>
    </xf>
    <xf numFmtId="0" fontId="6" fillId="4" borderId="0" xfId="0" applyFont="1" applyFill="1" applyBorder="1" applyProtection="1"/>
    <xf numFmtId="3" fontId="2" fillId="11" borderId="0" xfId="0" applyNumberFormat="1" applyFont="1" applyFill="1" applyBorder="1" applyAlignment="1" applyProtection="1">
      <alignment horizontal="center"/>
    </xf>
    <xf numFmtId="3" fontId="6" fillId="4" borderId="0" xfId="0" applyNumberFormat="1" applyFont="1" applyFill="1" applyBorder="1" applyAlignment="1" applyProtection="1"/>
    <xf numFmtId="0" fontId="5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" fontId="6" fillId="2" borderId="4" xfId="0" applyNumberFormat="1" applyFont="1" applyFill="1" applyBorder="1" applyProtection="1"/>
    <xf numFmtId="0" fontId="0" fillId="4" borderId="6" xfId="0" applyFill="1" applyBorder="1"/>
    <xf numFmtId="0" fontId="12" fillId="6" borderId="0" xfId="0" applyFont="1" applyFill="1" applyAlignment="1">
      <alignment horizontal="center"/>
    </xf>
    <xf numFmtId="14" fontId="6" fillId="2" borderId="1" xfId="0" applyNumberFormat="1" applyFont="1" applyFill="1" applyBorder="1" applyAlignment="1" applyProtection="1">
      <alignment horizontal="center"/>
    </xf>
    <xf numFmtId="14" fontId="6" fillId="2" borderId="8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0" fontId="12" fillId="3" borderId="0" xfId="0" applyFont="1" applyFill="1" applyAlignment="1">
      <alignment horizontal="left"/>
    </xf>
    <xf numFmtId="3" fontId="12" fillId="6" borderId="0" xfId="0" applyNumberFormat="1" applyFont="1" applyFill="1" applyAlignment="1">
      <alignment horizontal="left"/>
    </xf>
    <xf numFmtId="0" fontId="12" fillId="6" borderId="0" xfId="0" applyFont="1" applyFill="1" applyAlignment="1">
      <alignment horizontal="left"/>
    </xf>
    <xf numFmtId="0" fontId="12" fillId="7" borderId="0" xfId="0" applyFont="1" applyFill="1" applyBorder="1" applyAlignment="1">
      <alignment horizontal="left"/>
    </xf>
    <xf numFmtId="0" fontId="12" fillId="7" borderId="0" xfId="0" applyFont="1" applyFill="1" applyAlignment="1">
      <alignment horizontal="left"/>
    </xf>
    <xf numFmtId="14" fontId="6" fillId="4" borderId="0" xfId="0" applyNumberFormat="1" applyFont="1" applyFill="1" applyBorder="1" applyAlignment="1" applyProtection="1"/>
    <xf numFmtId="10" fontId="6" fillId="4" borderId="0" xfId="0" applyNumberFormat="1" applyFont="1" applyFill="1" applyBorder="1" applyAlignment="1" applyProtection="1"/>
    <xf numFmtId="10" fontId="6" fillId="4" borderId="0" xfId="0" applyNumberFormat="1" applyFont="1" applyFill="1" applyBorder="1" applyAlignment="1" applyProtection="1">
      <alignment horizontal="right"/>
    </xf>
    <xf numFmtId="10" fontId="6" fillId="4" borderId="5" xfId="0" applyNumberFormat="1" applyFont="1" applyFill="1" applyBorder="1" applyAlignment="1" applyProtection="1"/>
    <xf numFmtId="10" fontId="11" fillId="4" borderId="0" xfId="0" applyNumberFormat="1" applyFont="1" applyFill="1" applyBorder="1" applyAlignment="1" applyProtection="1"/>
    <xf numFmtId="3" fontId="6" fillId="4" borderId="0" xfId="0" applyNumberFormat="1" applyFont="1" applyFill="1" applyBorder="1" applyAlignment="1" applyProtection="1">
      <alignment horizontal="right"/>
    </xf>
    <xf numFmtId="4" fontId="6" fillId="4" borderId="5" xfId="0" applyNumberFormat="1" applyFont="1" applyFill="1" applyBorder="1" applyAlignment="1" applyProtection="1">
      <alignment horizontal="right"/>
    </xf>
    <xf numFmtId="3" fontId="11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3" fontId="6" fillId="4" borderId="5" xfId="0" applyNumberFormat="1" applyFont="1" applyFill="1" applyBorder="1" applyProtection="1"/>
    <xf numFmtId="4" fontId="11" fillId="4" borderId="0" xfId="0" applyNumberFormat="1" applyFont="1" applyFill="1" applyBorder="1" applyProtection="1"/>
    <xf numFmtId="4" fontId="6" fillId="4" borderId="0" xfId="0" applyNumberFormat="1" applyFont="1" applyFill="1" applyBorder="1" applyProtection="1"/>
    <xf numFmtId="3" fontId="11" fillId="4" borderId="2" xfId="0" applyNumberFormat="1" applyFont="1" applyFill="1" applyBorder="1" applyProtection="1"/>
    <xf numFmtId="165" fontId="18" fillId="4" borderId="0" xfId="0" applyNumberFormat="1" applyFont="1" applyFill="1" applyBorder="1" applyProtection="1"/>
    <xf numFmtId="4" fontId="6" fillId="4" borderId="1" xfId="0" applyNumberFormat="1" applyFont="1" applyFill="1" applyBorder="1" applyProtection="1"/>
    <xf numFmtId="4" fontId="6" fillId="4" borderId="4" xfId="0" applyNumberFormat="1" applyFont="1" applyFill="1" applyBorder="1" applyProtection="1"/>
    <xf numFmtId="10" fontId="6" fillId="4" borderId="4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>
      <alignment horizontal="center"/>
    </xf>
    <xf numFmtId="0" fontId="6" fillId="4" borderId="2" xfId="0" applyFont="1" applyFill="1" applyBorder="1" applyProtection="1">
      <protection locked="0"/>
    </xf>
    <xf numFmtId="10" fontId="6" fillId="4" borderId="0" xfId="0" applyNumberFormat="1" applyFont="1" applyFill="1" applyBorder="1" applyProtection="1"/>
    <xf numFmtId="10" fontId="6" fillId="2" borderId="3" xfId="0" applyNumberFormat="1" applyFont="1" applyFill="1" applyBorder="1" applyAlignment="1" applyProtection="1"/>
    <xf numFmtId="10" fontId="6" fillId="2" borderId="9" xfId="0" applyNumberFormat="1" applyFont="1" applyFill="1" applyBorder="1" applyAlignment="1" applyProtection="1">
      <alignment horizontal="right"/>
    </xf>
    <xf numFmtId="10" fontId="6" fillId="2" borderId="6" xfId="0" applyNumberFormat="1" applyFont="1" applyFill="1" applyBorder="1" applyAlignment="1" applyProtection="1"/>
    <xf numFmtId="4" fontId="2" fillId="5" borderId="12" xfId="0" applyNumberFormat="1" applyFont="1" applyFill="1" applyBorder="1" applyAlignment="1" applyProtection="1">
      <alignment horizontal="right"/>
    </xf>
    <xf numFmtId="3" fontId="6" fillId="2" borderId="9" xfId="0" applyNumberFormat="1" applyFont="1" applyFill="1" applyBorder="1" applyAlignment="1" applyProtection="1">
      <alignment horizontal="right"/>
    </xf>
    <xf numFmtId="0" fontId="0" fillId="4" borderId="9" xfId="0" applyFont="1" applyFill="1" applyBorder="1" applyAlignment="1" applyProtection="1">
      <alignment horizontal="center"/>
    </xf>
    <xf numFmtId="4" fontId="2" fillId="5" borderId="6" xfId="0" applyNumberFormat="1" applyFont="1" applyFill="1" applyBorder="1" applyAlignment="1" applyProtection="1">
      <alignment horizontal="right"/>
    </xf>
    <xf numFmtId="3" fontId="4" fillId="5" borderId="0" xfId="0" applyNumberFormat="1" applyFont="1" applyFill="1" applyAlignment="1" applyProtection="1">
      <alignment horizontal="right"/>
      <protection locked="0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1" fontId="0" fillId="2" borderId="0" xfId="0" applyNumberFormat="1" applyFill="1"/>
    <xf numFmtId="1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right"/>
    </xf>
    <xf numFmtId="49" fontId="3" fillId="2" borderId="0" xfId="0" applyNumberFormat="1" applyFont="1" applyFill="1"/>
    <xf numFmtId="0" fontId="3" fillId="10" borderId="2" xfId="0" applyFont="1" applyFill="1" applyBorder="1"/>
    <xf numFmtId="49" fontId="3" fillId="10" borderId="3" xfId="0" applyNumberFormat="1" applyFont="1" applyFill="1" applyBorder="1"/>
    <xf numFmtId="0" fontId="3" fillId="10" borderId="0" xfId="0" applyFont="1" applyFill="1" applyBorder="1"/>
    <xf numFmtId="49" fontId="3" fillId="10" borderId="9" xfId="0" applyNumberFormat="1" applyFont="1" applyFill="1" applyBorder="1"/>
    <xf numFmtId="3" fontId="3" fillId="10" borderId="2" xfId="0" applyNumberFormat="1" applyFont="1" applyFill="1" applyBorder="1" applyAlignment="1">
      <alignment horizontal="right"/>
    </xf>
    <xf numFmtId="3" fontId="3" fillId="10" borderId="2" xfId="0" applyNumberFormat="1" applyFont="1" applyFill="1" applyBorder="1"/>
    <xf numFmtId="3" fontId="3" fillId="10" borderId="0" xfId="0" applyNumberFormat="1" applyFont="1" applyFill="1" applyBorder="1" applyAlignment="1">
      <alignment horizontal="right"/>
    </xf>
    <xf numFmtId="3" fontId="3" fillId="10" borderId="0" xfId="0" applyNumberFormat="1" applyFont="1" applyFill="1" applyBorder="1"/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/>
    <xf numFmtId="3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/>
    <xf numFmtId="49" fontId="3" fillId="4" borderId="9" xfId="0" applyNumberFormat="1" applyFont="1" applyFill="1" applyBorder="1"/>
    <xf numFmtId="1" fontId="0" fillId="4" borderId="2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left"/>
    </xf>
    <xf numFmtId="3" fontId="0" fillId="4" borderId="2" xfId="0" applyNumberForma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166" fontId="0" fillId="2" borderId="0" xfId="0" applyNumberFormat="1" applyFill="1"/>
    <xf numFmtId="3" fontId="0" fillId="4" borderId="3" xfId="0" applyNumberFormat="1" applyFill="1" applyBorder="1" applyAlignment="1">
      <alignment horizontal="left"/>
    </xf>
    <xf numFmtId="3" fontId="0" fillId="4" borderId="9" xfId="0" applyNumberFormat="1" applyFill="1" applyBorder="1" applyAlignment="1">
      <alignment horizontal="left"/>
    </xf>
    <xf numFmtId="1" fontId="0" fillId="4" borderId="2" xfId="0" applyNumberFormat="1" applyFill="1" applyBorder="1"/>
    <xf numFmtId="1" fontId="0" fillId="4" borderId="0" xfId="0" applyNumberFormat="1" applyFill="1" applyBorder="1"/>
    <xf numFmtId="167" fontId="18" fillId="2" borderId="14" xfId="0" applyNumberFormat="1" applyFont="1" applyFill="1" applyBorder="1" applyProtection="1"/>
    <xf numFmtId="167" fontId="14" fillId="3" borderId="14" xfId="0" applyNumberFormat="1" applyFont="1" applyFill="1" applyBorder="1" applyProtection="1"/>
    <xf numFmtId="1" fontId="0" fillId="3" borderId="0" xfId="0" applyNumberFormat="1" applyFill="1" applyBorder="1"/>
    <xf numFmtId="1" fontId="0" fillId="3" borderId="0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left"/>
    </xf>
    <xf numFmtId="1" fontId="0" fillId="3" borderId="5" xfId="0" applyNumberFormat="1" applyFill="1" applyBorder="1"/>
    <xf numFmtId="1" fontId="0" fillId="3" borderId="5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left"/>
    </xf>
    <xf numFmtId="3" fontId="2" fillId="3" borderId="5" xfId="0" applyNumberFormat="1" applyFont="1" applyFill="1" applyBorder="1" applyAlignment="1">
      <alignment horizontal="right"/>
    </xf>
    <xf numFmtId="1" fontId="2" fillId="3" borderId="5" xfId="0" applyNumberFormat="1" applyFont="1" applyFill="1" applyBorder="1"/>
    <xf numFmtId="1" fontId="2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left"/>
    </xf>
    <xf numFmtId="0" fontId="2" fillId="3" borderId="5" xfId="0" applyFont="1" applyFill="1" applyBorder="1"/>
    <xf numFmtId="49" fontId="2" fillId="3" borderId="6" xfId="0" applyNumberFormat="1" applyFont="1" applyFill="1" applyBorder="1"/>
    <xf numFmtId="168" fontId="0" fillId="3" borderId="8" xfId="0" applyNumberFormat="1" applyFill="1" applyBorder="1"/>
    <xf numFmtId="168" fontId="0" fillId="3" borderId="4" xfId="0" applyNumberFormat="1" applyFill="1" applyBorder="1"/>
    <xf numFmtId="169" fontId="0" fillId="2" borderId="8" xfId="0" applyNumberFormat="1" applyFill="1" applyBorder="1"/>
    <xf numFmtId="167" fontId="0" fillId="2" borderId="8" xfId="0" applyNumberFormat="1" applyFill="1" applyBorder="1" applyAlignment="1">
      <alignment horizontal="left"/>
    </xf>
    <xf numFmtId="167" fontId="0" fillId="3" borderId="8" xfId="0" applyNumberFormat="1" applyFill="1" applyBorder="1" applyAlignment="1">
      <alignment horizontal="left"/>
    </xf>
    <xf numFmtId="165" fontId="0" fillId="3" borderId="8" xfId="0" applyNumberFormat="1" applyFill="1" applyBorder="1" applyAlignment="1">
      <alignment horizontal="left"/>
    </xf>
    <xf numFmtId="168" fontId="0" fillId="2" borderId="8" xfId="0" applyNumberFormat="1" applyFill="1" applyBorder="1" applyAlignment="1">
      <alignment horizontal="left"/>
    </xf>
    <xf numFmtId="10" fontId="0" fillId="3" borderId="8" xfId="0" applyNumberFormat="1" applyFill="1" applyBorder="1"/>
    <xf numFmtId="10" fontId="0" fillId="3" borderId="8" xfId="0" applyNumberFormat="1" applyFill="1" applyBorder="1" applyAlignment="1">
      <alignment horizontal="left"/>
    </xf>
    <xf numFmtId="169" fontId="0" fillId="4" borderId="8" xfId="0" applyNumberFormat="1" applyFill="1" applyBorder="1"/>
    <xf numFmtId="10" fontId="0" fillId="4" borderId="1" xfId="0" applyNumberFormat="1" applyFill="1" applyBorder="1" applyAlignment="1">
      <alignment horizontal="left"/>
    </xf>
    <xf numFmtId="10" fontId="0" fillId="4" borderId="8" xfId="0" applyNumberFormat="1" applyFill="1" applyBorder="1" applyAlignment="1">
      <alignment horizontal="left"/>
    </xf>
    <xf numFmtId="170" fontId="0" fillId="4" borderId="8" xfId="0" applyNumberFormat="1" applyFill="1" applyBorder="1" applyAlignment="1">
      <alignment horizontal="left"/>
    </xf>
    <xf numFmtId="165" fontId="0" fillId="4" borderId="8" xfId="0" applyNumberFormat="1" applyFill="1" applyBorder="1" applyAlignment="1">
      <alignment horizontal="left"/>
    </xf>
    <xf numFmtId="167" fontId="0" fillId="4" borderId="8" xfId="0" applyNumberFormat="1" applyFill="1" applyBorder="1" applyAlignment="1">
      <alignment horizontal="left"/>
    </xf>
    <xf numFmtId="167" fontId="0" fillId="9" borderId="0" xfId="0" applyNumberFormat="1" applyFill="1"/>
    <xf numFmtId="3" fontId="2" fillId="3" borderId="0" xfId="0" applyNumberFormat="1" applyFont="1" applyFill="1" applyBorder="1" applyAlignment="1">
      <alignment horizontal="right"/>
    </xf>
    <xf numFmtId="1" fontId="2" fillId="3" borderId="0" xfId="0" applyNumberFormat="1" applyFont="1" applyFill="1" applyBorder="1"/>
    <xf numFmtId="1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/>
    <xf numFmtId="3" fontId="3" fillId="3" borderId="0" xfId="0" applyNumberFormat="1" applyFont="1" applyFill="1" applyBorder="1" applyAlignment="1">
      <alignment horizontal="right"/>
    </xf>
    <xf numFmtId="49" fontId="2" fillId="3" borderId="9" xfId="0" applyNumberFormat="1" applyFont="1" applyFill="1" applyBorder="1"/>
    <xf numFmtId="3" fontId="0" fillId="3" borderId="0" xfId="0" applyNumberFormat="1" applyFill="1" applyBorder="1" applyAlignment="1">
      <alignment horizontal="right"/>
    </xf>
    <xf numFmtId="0" fontId="0" fillId="3" borderId="0" xfId="0" applyFill="1" applyBorder="1"/>
    <xf numFmtId="170" fontId="0" fillId="3" borderId="8" xfId="0" applyNumberFormat="1" applyFill="1" applyBorder="1" applyAlignment="1">
      <alignment horizontal="left"/>
    </xf>
    <xf numFmtId="0" fontId="0" fillId="3" borderId="5" xfId="0" applyFill="1" applyBorder="1"/>
    <xf numFmtId="3" fontId="0" fillId="2" borderId="11" xfId="0" applyNumberFormat="1" applyFill="1" applyBorder="1"/>
    <xf numFmtId="3" fontId="0" fillId="2" borderId="15" xfId="0" applyNumberFormat="1" applyFill="1" applyBorder="1"/>
    <xf numFmtId="3" fontId="0" fillId="2" borderId="12" xfId="0" applyNumberFormat="1" applyFill="1" applyBorder="1"/>
    <xf numFmtId="0" fontId="15" fillId="2" borderId="3" xfId="0" applyFont="1" applyFill="1" applyBorder="1"/>
    <xf numFmtId="0" fontId="15" fillId="2" borderId="9" xfId="0" applyFont="1" applyFill="1" applyBorder="1"/>
    <xf numFmtId="0" fontId="19" fillId="2" borderId="9" xfId="0" applyFont="1" applyFill="1" applyBorder="1"/>
    <xf numFmtId="0" fontId="15" fillId="2" borderId="6" xfId="0" applyFont="1" applyFill="1" applyBorder="1"/>
    <xf numFmtId="0" fontId="25" fillId="5" borderId="0" xfId="0" applyFont="1" applyFill="1" applyBorder="1" applyAlignment="1">
      <alignment horizontal="center"/>
    </xf>
    <xf numFmtId="0" fontId="8" fillId="8" borderId="0" xfId="0" applyFont="1" applyFill="1" applyBorder="1" applyAlignment="1" applyProtection="1">
      <alignment horizontal="left"/>
    </xf>
    <xf numFmtId="0" fontId="27" fillId="5" borderId="0" xfId="0" applyFont="1" applyFill="1" applyBorder="1" applyAlignment="1" applyProtection="1">
      <alignment horizontal="center"/>
    </xf>
    <xf numFmtId="3" fontId="5" fillId="4" borderId="0" xfId="0" applyNumberFormat="1" applyFont="1" applyFill="1" applyBorder="1" applyAlignment="1" applyProtection="1">
      <alignment horizontal="left"/>
    </xf>
    <xf numFmtId="3" fontId="12" fillId="6" borderId="0" xfId="0" applyNumberFormat="1" applyFont="1" applyFill="1" applyAlignment="1">
      <alignment horizontal="left"/>
    </xf>
    <xf numFmtId="0" fontId="12" fillId="6" borderId="0" xfId="0" applyFont="1" applyFill="1" applyAlignment="1">
      <alignment horizontal="left"/>
    </xf>
    <xf numFmtId="0" fontId="12" fillId="7" borderId="0" xfId="0" applyFont="1" applyFill="1" applyBorder="1" applyAlignment="1">
      <alignment horizontal="left"/>
    </xf>
    <xf numFmtId="0" fontId="12" fillId="7" borderId="0" xfId="0" applyFont="1" applyFill="1" applyAlignment="1">
      <alignment horizontal="left"/>
    </xf>
    <xf numFmtId="0" fontId="25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" fillId="5" borderId="5" xfId="0" applyNumberFormat="1" applyFont="1" applyFill="1" applyBorder="1" applyAlignment="1" applyProtection="1">
      <alignment horizontal="center"/>
    </xf>
    <xf numFmtId="0" fontId="2" fillId="5" borderId="6" xfId="0" applyNumberFormat="1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2" fillId="3" borderId="0" xfId="0" applyFont="1" applyFill="1" applyAlignment="1">
      <alignment horizontal="left"/>
    </xf>
    <xf numFmtId="0" fontId="2" fillId="5" borderId="5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7" fillId="7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16" fillId="2" borderId="1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166" fontId="12" fillId="3" borderId="7" xfId="0" applyNumberFormat="1" applyFont="1" applyFill="1" applyBorder="1" applyAlignment="1">
      <alignment horizontal="center"/>
    </xf>
    <xf numFmtId="166" fontId="12" fillId="3" borderId="10" xfId="0" applyNumberFormat="1" applyFont="1" applyFill="1" applyBorder="1" applyAlignment="1">
      <alignment horizontal="center"/>
    </xf>
    <xf numFmtId="166" fontId="12" fillId="3" borderId="1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6" fontId="3" fillId="2" borderId="9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</cellXfs>
  <cellStyles count="7">
    <cellStyle name="Hyperlink 2" xfId="6" xr:uid="{00000000-0005-0000-0000-000000000000}"/>
    <cellStyle name="Hyperlink_Auszug GV100 300900" xfId="5" xr:uid="{00000000-0005-0000-0000-000001000000}"/>
    <cellStyle name="Link" xfId="1" builtinId="8"/>
    <cellStyle name="Link 2" xfId="4" xr:uid="{00000000-0005-0000-0000-000003000000}"/>
    <cellStyle name="Standard" xfId="0" builtinId="0"/>
    <cellStyle name="Standard 2" xfId="2" xr:uid="{00000000-0005-0000-0000-000005000000}"/>
    <cellStyle name="Standard 2 5" xfId="3" xr:uid="{00000000-0005-0000-0000-000006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.wikipedia.org/wiki/Liste_der_Landkreise_in_Deutschland" TargetMode="External"/><Relationship Id="rId2" Type="http://schemas.openxmlformats.org/officeDocument/2006/relationships/hyperlink" Target="https://corona.rki.de/" TargetMode="External"/><Relationship Id="rId1" Type="http://schemas.openxmlformats.org/officeDocument/2006/relationships/hyperlink" Target="https://corona.rki.de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rki.de/DE/Content/InfAZ/N/Neuartiges_Coronavirus/Situationsberichte/Gesam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Themen/Laender-Regionen/Regionales/Gemeindeverzeichnis/Administrativ/02-bundeslaender.html" TargetMode="External"/><Relationship Id="rId2" Type="http://schemas.openxmlformats.org/officeDocument/2006/relationships/hyperlink" Target="https://www.destatis.de/DE/Themen/Laender-Regionen/Regionales/Gemeindeverzeichnis/Administrativ/02-bundeslaender.html" TargetMode="External"/><Relationship Id="rId1" Type="http://schemas.openxmlformats.org/officeDocument/2006/relationships/hyperlink" Target="https://www.destatis.de/DE/Themen/Branchen-Unternehmen/Landwirtschaft-Forstwirtschaft-Fischerei/Flaechennutzung/_inhalt.html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2:H50"/>
  <sheetViews>
    <sheetView showGridLines="0" showRowColHeaders="0" tabSelected="1" zoomScaleNormal="100" workbookViewId="0">
      <selection activeCell="K17" sqref="K17"/>
    </sheetView>
  </sheetViews>
  <sheetFormatPr baseColWidth="10" defaultColWidth="11.42578125" defaultRowHeight="12.75" x14ac:dyDescent="0.2"/>
  <cols>
    <col min="1" max="2" width="1.7109375" style="117" customWidth="1"/>
    <col min="3" max="3" width="4.85546875" style="117" customWidth="1"/>
    <col min="4" max="4" width="12.42578125" style="117" customWidth="1"/>
    <col min="5" max="6" width="15.7109375" style="117" customWidth="1"/>
    <col min="7" max="7" width="116.85546875" style="117" customWidth="1"/>
    <col min="8" max="9" width="1.7109375" style="117" customWidth="1"/>
    <col min="10" max="16384" width="11.42578125" style="117"/>
  </cols>
  <sheetData>
    <row r="2" spans="2:8" x14ac:dyDescent="0.2">
      <c r="B2" s="99"/>
      <c r="C2" s="100"/>
      <c r="D2" s="101"/>
      <c r="E2" s="101"/>
      <c r="F2" s="101"/>
      <c r="G2" s="101"/>
      <c r="H2" s="102"/>
    </row>
    <row r="3" spans="2:8" ht="20.25" x14ac:dyDescent="0.3">
      <c r="B3" s="103"/>
      <c r="C3" s="311" t="s">
        <v>135</v>
      </c>
      <c r="D3" s="311"/>
      <c r="E3" s="311"/>
      <c r="F3" s="311"/>
      <c r="G3" s="311"/>
      <c r="H3" s="104"/>
    </row>
    <row r="4" spans="2:8" x14ac:dyDescent="0.2">
      <c r="B4" s="103"/>
      <c r="C4" s="135"/>
      <c r="D4" s="9"/>
      <c r="E4" s="9"/>
      <c r="F4" s="9"/>
      <c r="G4" s="9"/>
      <c r="H4" s="104"/>
    </row>
    <row r="5" spans="2:8" s="140" customFormat="1" ht="15.75" x14ac:dyDescent="0.25">
      <c r="B5" s="136"/>
      <c r="C5" s="141" t="s">
        <v>104</v>
      </c>
      <c r="D5" s="141"/>
      <c r="E5" s="313"/>
      <c r="F5" s="313"/>
      <c r="G5" s="141" t="s">
        <v>114</v>
      </c>
      <c r="H5" s="139"/>
    </row>
    <row r="6" spans="2:8" ht="18" x14ac:dyDescent="0.25">
      <c r="B6" s="103"/>
      <c r="C6" s="114"/>
      <c r="D6" s="87"/>
      <c r="E6" s="87"/>
      <c r="F6" s="87"/>
      <c r="G6" s="87"/>
      <c r="H6" s="104"/>
    </row>
    <row r="7" spans="2:8" x14ac:dyDescent="0.2">
      <c r="B7" s="103"/>
      <c r="C7" s="69" t="s">
        <v>82</v>
      </c>
      <c r="D7" s="312" t="s">
        <v>115</v>
      </c>
      <c r="E7" s="312"/>
      <c r="F7" s="312"/>
      <c r="G7" s="312"/>
      <c r="H7" s="104"/>
    </row>
    <row r="8" spans="2:8" x14ac:dyDescent="0.2">
      <c r="B8" s="103"/>
      <c r="C8" s="118">
        <v>1</v>
      </c>
      <c r="D8" s="144" t="s">
        <v>6</v>
      </c>
      <c r="E8" s="64">
        <v>44041</v>
      </c>
      <c r="F8" s="144" t="s">
        <v>86</v>
      </c>
      <c r="G8" s="190" t="s">
        <v>85</v>
      </c>
      <c r="H8" s="104"/>
    </row>
    <row r="9" spans="2:8" x14ac:dyDescent="0.2">
      <c r="B9" s="103"/>
      <c r="C9" s="118">
        <f>C8+1</f>
        <v>2</v>
      </c>
      <c r="D9" s="144" t="s">
        <v>6</v>
      </c>
      <c r="E9" s="65">
        <v>15</v>
      </c>
      <c r="F9" s="144" t="s">
        <v>87</v>
      </c>
      <c r="G9" s="190" t="s">
        <v>120</v>
      </c>
      <c r="H9" s="104"/>
    </row>
    <row r="10" spans="2:8" x14ac:dyDescent="0.2">
      <c r="B10" s="103"/>
      <c r="C10" s="189"/>
      <c r="D10" s="145"/>
      <c r="E10" s="184" t="str">
        <f>IF(E8="","Eingabe fehlt in Zeile 1",IF(E9="","Eingabe fehlt in Zeile 2",IF(E8&lt;&gt;"",IF(E9&lt;&gt;"","Gut gemacht! - Sie haben allen Eingabefelder ausgefüllt. Gehen Sie direkt zum gewünschten Eingabebereich 'Deutschland', 'Bundesland', 'Landkreis,Stadt'"))))</f>
        <v>Gut gemacht! - Sie haben allen Eingabefelder ausgefüllt. Gehen Sie direkt zum gewünschten Eingabebereich 'Deutschland', 'Bundesland', 'Landkreis,Stadt'</v>
      </c>
      <c r="F10" s="187"/>
      <c r="G10" s="188"/>
      <c r="H10" s="104"/>
    </row>
    <row r="11" spans="2:8" x14ac:dyDescent="0.2">
      <c r="B11" s="103"/>
      <c r="C11" s="88"/>
      <c r="D11" s="21"/>
      <c r="E11" s="113"/>
      <c r="F11" s="90"/>
      <c r="G11" s="91"/>
      <c r="H11" s="104"/>
    </row>
    <row r="12" spans="2:8" x14ac:dyDescent="0.2">
      <c r="B12" s="103"/>
      <c r="C12" s="70" t="s">
        <v>83</v>
      </c>
      <c r="D12" s="174" t="s">
        <v>132</v>
      </c>
      <c r="E12" s="174"/>
      <c r="F12" s="174"/>
      <c r="G12" s="174"/>
      <c r="H12" s="104"/>
    </row>
    <row r="13" spans="2:8" x14ac:dyDescent="0.2">
      <c r="B13" s="103"/>
      <c r="C13" s="179">
        <v>1</v>
      </c>
      <c r="D13" s="144"/>
      <c r="E13" s="176" t="s">
        <v>131</v>
      </c>
      <c r="F13" s="142"/>
      <c r="G13" s="190" t="s">
        <v>133</v>
      </c>
      <c r="H13" s="104"/>
    </row>
    <row r="14" spans="2:8" x14ac:dyDescent="0.2">
      <c r="B14" s="103"/>
      <c r="C14" s="179">
        <v>2</v>
      </c>
      <c r="D14" s="144"/>
      <c r="E14" s="126">
        <f>allg.Daten!E25</f>
        <v>33267.97</v>
      </c>
      <c r="F14" s="143" t="s">
        <v>44</v>
      </c>
      <c r="G14" s="190" t="s">
        <v>93</v>
      </c>
      <c r="H14" s="104"/>
    </row>
    <row r="15" spans="2:8" x14ac:dyDescent="0.2">
      <c r="B15" s="103"/>
      <c r="C15" s="179">
        <v>3</v>
      </c>
      <c r="D15" s="144"/>
      <c r="E15" s="126">
        <f>allg.Daten!H25</f>
        <v>83019213</v>
      </c>
      <c r="F15" s="143" t="s">
        <v>12</v>
      </c>
      <c r="G15" s="190" t="s">
        <v>91</v>
      </c>
      <c r="H15" s="104"/>
    </row>
    <row r="16" spans="2:8" x14ac:dyDescent="0.2">
      <c r="B16" s="103"/>
      <c r="C16" s="179">
        <f>C15+1</f>
        <v>4</v>
      </c>
      <c r="D16" s="144" t="s">
        <v>7</v>
      </c>
      <c r="E16" s="62" t="s">
        <v>5</v>
      </c>
      <c r="F16" s="144" t="s">
        <v>100</v>
      </c>
      <c r="G16" s="142" t="s">
        <v>171</v>
      </c>
      <c r="H16" s="104"/>
    </row>
    <row r="17" spans="2:8" x14ac:dyDescent="0.2">
      <c r="B17" s="103"/>
      <c r="C17" s="179">
        <f t="shared" ref="C17:C19" si="0">C16+1</f>
        <v>5</v>
      </c>
      <c r="D17" s="144" t="s">
        <v>7</v>
      </c>
      <c r="E17" s="67" t="s">
        <v>173</v>
      </c>
      <c r="F17" s="144" t="s">
        <v>174</v>
      </c>
      <c r="G17" s="142" t="s">
        <v>172</v>
      </c>
      <c r="H17" s="104"/>
    </row>
    <row r="18" spans="2:8" x14ac:dyDescent="0.2">
      <c r="B18" s="103"/>
      <c r="C18" s="179">
        <f t="shared" si="0"/>
        <v>6</v>
      </c>
      <c r="D18" s="144" t="s">
        <v>6</v>
      </c>
      <c r="E18" s="233">
        <v>206926</v>
      </c>
      <c r="F18" s="119">
        <f>IF(E18="","",100%)</f>
        <v>1</v>
      </c>
      <c r="G18" s="190" t="s">
        <v>116</v>
      </c>
      <c r="H18" s="104"/>
    </row>
    <row r="19" spans="2:8" x14ac:dyDescent="0.2">
      <c r="B19" s="103"/>
      <c r="C19" s="179">
        <f t="shared" si="0"/>
        <v>7</v>
      </c>
      <c r="D19" s="144" t="s">
        <v>6</v>
      </c>
      <c r="E19" s="233">
        <v>9128</v>
      </c>
      <c r="F19" s="120">
        <f>IFERROR(ROUND(E19/E18,4),"")</f>
        <v>4.41E-2</v>
      </c>
      <c r="G19" s="190" t="s">
        <v>117</v>
      </c>
      <c r="H19" s="104"/>
    </row>
    <row r="20" spans="2:8" x14ac:dyDescent="0.2">
      <c r="B20" s="103"/>
      <c r="C20" s="179">
        <f>C19+1</f>
        <v>8</v>
      </c>
      <c r="D20" s="144" t="s">
        <v>6</v>
      </c>
      <c r="E20" s="233">
        <v>191300</v>
      </c>
      <c r="F20" s="121">
        <f>IFERROR(ROUND(E20/E18,4),"")</f>
        <v>0.92449999999999999</v>
      </c>
      <c r="G20" s="190" t="s">
        <v>118</v>
      </c>
      <c r="H20" s="104"/>
    </row>
    <row r="21" spans="2:8" x14ac:dyDescent="0.2">
      <c r="B21" s="103"/>
      <c r="C21" s="186"/>
      <c r="D21" s="144"/>
      <c r="E21" s="181"/>
      <c r="F21" s="122">
        <f>IFERROR(F19+F20,"")</f>
        <v>0.96860000000000002</v>
      </c>
      <c r="G21" s="157" t="str">
        <f>IF(F21&lt;100%,"Summe ist kleiner als 100%. (Diese Zahl wird automatisch errechnet.)","Diese Zahl wird automatisch errechnet.")</f>
        <v>Summe ist kleiner als 100%. (Diese Zahl wird automatisch errechnet.)</v>
      </c>
      <c r="H21" s="104"/>
    </row>
    <row r="22" spans="2:8" x14ac:dyDescent="0.2">
      <c r="B22" s="103"/>
      <c r="C22" s="186"/>
      <c r="D22" s="145"/>
      <c r="E22" s="184" t="str">
        <f>IF(E18&lt;E19+E20,"Die Eingaben in den Zeilen 5 bis 7 sind unplausbibel. Überprüfen Sie Ihre Eingaben!",IF(E13="Bundesländer","Geben Sie in ein Bundesland in Zeile 1 ein!",IF(E18="","Eingabe fehlt in Zeile 5!",IF(E19="","Eingabe fehlt in Zeile 6!",IF(E20="","Eingabe fehlt in Zeile 7!",IF(E13&lt;&gt;"Bundesländer",IF(E18&lt;&gt;"",IF(E19&lt;&gt;"",IF(E20&lt;&gt;"","Gut gemacht!  -  Sie haben alle Eingabefelder ausgefüllt. Gehen Sie direkt zu Ihrer Risikoanalyse 'Deutschland' oder weiter zum Eingabebereich 'Bundesland'.")))))))))</f>
        <v>Gut gemacht!  -  Sie haben alle Eingabefelder ausgefüllt. Gehen Sie direkt zu Ihrer Risikoanalyse 'Deutschland' oder weiter zum Eingabebereich 'Bundesland'.</v>
      </c>
      <c r="F22" s="185"/>
      <c r="G22" s="157"/>
      <c r="H22" s="104"/>
    </row>
    <row r="23" spans="2:8" x14ac:dyDescent="0.2">
      <c r="B23" s="103"/>
      <c r="C23" s="92"/>
      <c r="D23" s="21"/>
      <c r="E23" s="113"/>
      <c r="F23" s="93"/>
      <c r="G23" s="60"/>
      <c r="H23" s="104"/>
    </row>
    <row r="24" spans="2:8" x14ac:dyDescent="0.2">
      <c r="B24" s="103"/>
      <c r="C24" s="70" t="s">
        <v>84</v>
      </c>
      <c r="D24" s="174" t="s">
        <v>92</v>
      </c>
      <c r="E24" s="174"/>
      <c r="F24" s="174"/>
      <c r="G24" s="174"/>
      <c r="H24" s="104"/>
    </row>
    <row r="25" spans="2:8" x14ac:dyDescent="0.2">
      <c r="B25" s="103"/>
      <c r="C25" s="178">
        <v>1</v>
      </c>
      <c r="D25" s="144" t="s">
        <v>80</v>
      </c>
      <c r="E25" s="61" t="s">
        <v>46</v>
      </c>
      <c r="F25" s="142" t="s">
        <v>81</v>
      </c>
      <c r="G25" s="190" t="s">
        <v>96</v>
      </c>
      <c r="H25" s="104"/>
    </row>
    <row r="26" spans="2:8" x14ac:dyDescent="0.2">
      <c r="B26" s="103"/>
      <c r="C26" s="178">
        <v>2</v>
      </c>
      <c r="D26" s="144"/>
      <c r="E26" s="126">
        <f>IF(E25="Bundesländer","",allg.Daten!G25)</f>
        <v>5658</v>
      </c>
      <c r="F26" s="143" t="s">
        <v>44</v>
      </c>
      <c r="G26" s="190" t="s">
        <v>93</v>
      </c>
      <c r="H26" s="104"/>
    </row>
    <row r="27" spans="2:8" x14ac:dyDescent="0.2">
      <c r="B27" s="103"/>
      <c r="C27" s="178">
        <v>3</v>
      </c>
      <c r="D27" s="144"/>
      <c r="E27" s="126">
        <f>IF(E25="Bundesländer","",allg.Daten!I25)</f>
        <v>17932651</v>
      </c>
      <c r="F27" s="143" t="s">
        <v>12</v>
      </c>
      <c r="G27" s="190" t="s">
        <v>91</v>
      </c>
      <c r="H27" s="104"/>
    </row>
    <row r="28" spans="2:8" x14ac:dyDescent="0.2">
      <c r="B28" s="103"/>
      <c r="C28" s="178">
        <f>C27+1</f>
        <v>4</v>
      </c>
      <c r="D28" s="144" t="s">
        <v>7</v>
      </c>
      <c r="E28" s="62" t="s">
        <v>5</v>
      </c>
      <c r="F28" s="144" t="s">
        <v>100</v>
      </c>
      <c r="G28" s="142" t="s">
        <v>175</v>
      </c>
      <c r="H28" s="104"/>
    </row>
    <row r="29" spans="2:8" x14ac:dyDescent="0.2">
      <c r="B29" s="103"/>
      <c r="C29" s="178">
        <f>C28+1</f>
        <v>5</v>
      </c>
      <c r="D29" s="144" t="s">
        <v>6</v>
      </c>
      <c r="E29" s="233">
        <v>47965</v>
      </c>
      <c r="F29" s="119">
        <f>IF(E29="","",100%)</f>
        <v>1</v>
      </c>
      <c r="G29" s="190" t="s">
        <v>116</v>
      </c>
      <c r="H29" s="104"/>
    </row>
    <row r="30" spans="2:8" x14ac:dyDescent="0.2">
      <c r="B30" s="103"/>
      <c r="C30" s="178">
        <f>C29+1</f>
        <v>6</v>
      </c>
      <c r="D30" s="144" t="s">
        <v>6</v>
      </c>
      <c r="E30" s="233">
        <v>1730</v>
      </c>
      <c r="F30" s="120">
        <f>IFERROR(ROUND(E30/E29,4),"")</f>
        <v>3.61E-2</v>
      </c>
      <c r="G30" s="190" t="s">
        <v>117</v>
      </c>
      <c r="H30" s="104"/>
    </row>
    <row r="31" spans="2:8" x14ac:dyDescent="0.2">
      <c r="B31" s="103"/>
      <c r="C31" s="178">
        <f>C30+1</f>
        <v>7</v>
      </c>
      <c r="D31" s="144" t="s">
        <v>6</v>
      </c>
      <c r="E31" s="233">
        <v>43700</v>
      </c>
      <c r="F31" s="121">
        <f>IFERROR(ROUND(E31/E29,4),"")</f>
        <v>0.91110000000000002</v>
      </c>
      <c r="G31" s="190" t="s">
        <v>118</v>
      </c>
      <c r="H31" s="104"/>
    </row>
    <row r="32" spans="2:8" x14ac:dyDescent="0.2">
      <c r="B32" s="103"/>
      <c r="C32" s="186"/>
      <c r="D32" s="144"/>
      <c r="E32" s="181"/>
      <c r="F32" s="122">
        <f>IFERROR(F30+F31,"")</f>
        <v>0.94720000000000004</v>
      </c>
      <c r="G32" s="157" t="str">
        <f>IF(F32&lt;100%,"Summe ist kleiner als 100%. (Diese Zahl wird automatisch errechnet.)","Diese Zahl wird automatisch errechnet.")</f>
        <v>Summe ist kleiner als 100%. (Diese Zahl wird automatisch errechnet.)</v>
      </c>
      <c r="H32" s="104"/>
    </row>
    <row r="33" spans="2:8" x14ac:dyDescent="0.2">
      <c r="B33" s="103"/>
      <c r="C33" s="186"/>
      <c r="D33" s="145"/>
      <c r="E33" s="184" t="str">
        <f>IF(E29&lt;E30+E31,"Die Eingaben in den Zeilen 5 bis 7 sind unplausbibel. Überprüfen Sie Ihre Eingaben!",IF(E25="Bundesländer","Geben Sie in ein Bundesland in Zeile 1 ein!",IF(E29="","Eingabe fehlt in Zeile 5!",IF(E30="","Eingabe fehlt in Zeile 6!",IF(E31="","Eingabe fehlt in Zeile 7!",IF(E25&lt;&gt;"Bundesländer",IF(E29&lt;&gt;"",IF(E30&lt;&gt;"",IF(E31&lt;&gt;"","Gut gemacht!  -  Sie haben alle Eingabefelder ausgefüllt. Gehen Sie direkt zur Ihrer Risikoanalyse 'Bundesland' oder weiter zum Eingabebereich 'Landkreis,Stadt'")))))))))</f>
        <v>Gut gemacht!  -  Sie haben alle Eingabefelder ausgefüllt. Gehen Sie direkt zur Ihrer Risikoanalyse 'Bundesland' oder weiter zum Eingabebereich 'Landkreis,Stadt'</v>
      </c>
      <c r="F33" s="185"/>
      <c r="G33" s="157"/>
      <c r="H33" s="104"/>
    </row>
    <row r="34" spans="2:8" x14ac:dyDescent="0.2">
      <c r="B34" s="103"/>
      <c r="C34" s="92"/>
      <c r="D34" s="21"/>
      <c r="E34" s="89"/>
      <c r="F34" s="93"/>
      <c r="G34" s="60"/>
      <c r="H34" s="104"/>
    </row>
    <row r="35" spans="2:8" x14ac:dyDescent="0.2">
      <c r="B35" s="103"/>
      <c r="C35" s="71" t="s">
        <v>134</v>
      </c>
      <c r="D35" s="66" t="s">
        <v>140</v>
      </c>
      <c r="E35" s="66"/>
      <c r="F35" s="66"/>
      <c r="G35" s="66"/>
      <c r="H35" s="104"/>
    </row>
    <row r="36" spans="2:8" x14ac:dyDescent="0.2">
      <c r="B36" s="103"/>
      <c r="C36" s="191">
        <v>0</v>
      </c>
      <c r="D36" s="192" t="s">
        <v>143</v>
      </c>
      <c r="E36" s="314" t="str">
        <f>IF(COUNTA(E25:E31)=7,"Alles o.k. - Gehen Sie weiter.","Bundesland ausfüllen!")</f>
        <v>Alles o.k. - Gehen Sie weiter.</v>
      </c>
      <c r="F36" s="314"/>
      <c r="G36" s="192" t="s">
        <v>144</v>
      </c>
      <c r="H36" s="104"/>
    </row>
    <row r="37" spans="2:8" x14ac:dyDescent="0.2">
      <c r="B37" s="103"/>
      <c r="C37" s="180">
        <v>1</v>
      </c>
      <c r="D37" s="144" t="s">
        <v>6</v>
      </c>
      <c r="E37" s="65" t="s">
        <v>176</v>
      </c>
      <c r="F37" s="143" t="s">
        <v>78</v>
      </c>
      <c r="G37" s="142" t="s">
        <v>101</v>
      </c>
      <c r="H37" s="104"/>
    </row>
    <row r="38" spans="2:8" x14ac:dyDescent="0.2">
      <c r="B38" s="103"/>
      <c r="C38" s="180">
        <f t="shared" ref="C38:C46" si="1">C37+1</f>
        <v>2</v>
      </c>
      <c r="D38" s="144" t="s">
        <v>7</v>
      </c>
      <c r="E38" s="67" t="s">
        <v>63</v>
      </c>
      <c r="F38" s="145" t="s">
        <v>63</v>
      </c>
      <c r="G38" s="190" t="s">
        <v>88</v>
      </c>
      <c r="H38" s="104"/>
    </row>
    <row r="39" spans="2:8" x14ac:dyDescent="0.2">
      <c r="B39" s="103"/>
      <c r="C39" s="180">
        <f t="shared" si="1"/>
        <v>3</v>
      </c>
      <c r="D39" s="144" t="s">
        <v>6</v>
      </c>
      <c r="E39" s="63">
        <v>303</v>
      </c>
      <c r="F39" s="143" t="s">
        <v>44</v>
      </c>
      <c r="G39" s="190" t="s">
        <v>94</v>
      </c>
      <c r="H39" s="104"/>
    </row>
    <row r="40" spans="2:8" x14ac:dyDescent="0.2">
      <c r="B40" s="103"/>
      <c r="C40" s="180">
        <f t="shared" si="1"/>
        <v>4</v>
      </c>
      <c r="D40" s="144" t="s">
        <v>64</v>
      </c>
      <c r="E40" s="68">
        <v>25</v>
      </c>
      <c r="F40" s="143" t="s">
        <v>67</v>
      </c>
      <c r="G40" s="190" t="s">
        <v>95</v>
      </c>
      <c r="H40" s="104"/>
    </row>
    <row r="41" spans="2:8" x14ac:dyDescent="0.2">
      <c r="B41" s="103"/>
      <c r="C41" s="180">
        <f t="shared" si="1"/>
        <v>5</v>
      </c>
      <c r="D41" s="144" t="s">
        <v>6</v>
      </c>
      <c r="E41" s="63">
        <v>315293</v>
      </c>
      <c r="F41" s="145" t="s">
        <v>12</v>
      </c>
      <c r="G41" s="190" t="s">
        <v>89</v>
      </c>
      <c r="H41" s="104"/>
    </row>
    <row r="42" spans="2:8" x14ac:dyDescent="0.2">
      <c r="B42" s="103"/>
      <c r="C42" s="180">
        <f t="shared" si="1"/>
        <v>6</v>
      </c>
      <c r="D42" s="144" t="s">
        <v>7</v>
      </c>
      <c r="E42" s="62" t="str">
        <f>E28</f>
        <v>corona.rki.de</v>
      </c>
      <c r="F42" s="142" t="s">
        <v>100</v>
      </c>
      <c r="G42" s="142" t="s">
        <v>90</v>
      </c>
      <c r="H42" s="104"/>
    </row>
    <row r="43" spans="2:8" x14ac:dyDescent="0.2">
      <c r="B43" s="103"/>
      <c r="C43" s="180">
        <f t="shared" si="1"/>
        <v>7</v>
      </c>
      <c r="D43" s="144" t="s">
        <v>6</v>
      </c>
      <c r="E43" s="63">
        <v>754</v>
      </c>
      <c r="F43" s="123">
        <f>IF(E43="","",100%)</f>
        <v>1</v>
      </c>
      <c r="G43" s="190" t="s">
        <v>97</v>
      </c>
      <c r="H43" s="104"/>
    </row>
    <row r="44" spans="2:8" x14ac:dyDescent="0.2">
      <c r="B44" s="103"/>
      <c r="C44" s="180">
        <f t="shared" si="1"/>
        <v>8</v>
      </c>
      <c r="D44" s="144" t="s">
        <v>6</v>
      </c>
      <c r="E44" s="63">
        <v>13</v>
      </c>
      <c r="F44" s="120">
        <f>IFERROR(ROUND(E44/E43,4),"")</f>
        <v>1.72E-2</v>
      </c>
      <c r="G44" s="190" t="s">
        <v>98</v>
      </c>
      <c r="H44" s="104"/>
    </row>
    <row r="45" spans="2:8" x14ac:dyDescent="0.2">
      <c r="B45" s="103"/>
      <c r="C45" s="180">
        <f t="shared" si="1"/>
        <v>9</v>
      </c>
      <c r="D45" s="144" t="s">
        <v>64</v>
      </c>
      <c r="E45" s="127">
        <f>IFERROR(ROUND(E43*F45,0),"")</f>
        <v>687</v>
      </c>
      <c r="F45" s="123">
        <f>IFERROR(IF(F44+F31&gt;100%,F43-F44,F31),"")</f>
        <v>0.91110000000000002</v>
      </c>
      <c r="G45" s="190" t="s">
        <v>99</v>
      </c>
      <c r="H45" s="104"/>
    </row>
    <row r="46" spans="2:8" x14ac:dyDescent="0.2">
      <c r="B46" s="103"/>
      <c r="C46" s="186">
        <f t="shared" si="1"/>
        <v>10</v>
      </c>
      <c r="D46" s="144"/>
      <c r="E46" s="182"/>
      <c r="F46" s="122">
        <f>IFERROR(F44+F45,"")</f>
        <v>0.92830000000000001</v>
      </c>
      <c r="G46" s="157" t="str">
        <f>IF(F46&lt;100%,"Summe ist kleiner als 100%. (Diese Zahl wird automatisch errechnet.)","Diese Zahl wird automatisch errechnet.")</f>
        <v>Summe ist kleiner als 100%. (Diese Zahl wird automatisch errechnet.)</v>
      </c>
      <c r="H46" s="104"/>
    </row>
    <row r="47" spans="2:8" x14ac:dyDescent="0.2">
      <c r="B47" s="103"/>
      <c r="C47" s="194"/>
      <c r="D47" s="183"/>
      <c r="E47" s="193" t="str">
        <f>IF(E37="","Eingabe fehlt in Zeile 1",IF(E39="","Eingabe fehlt in Zeile 3!",IF(E40="","Eingabe fehlt in Zeile 4!",IF(E41="","Eingabe fehlt in Zeile 5!",IF(E43="","Eingabe fehlt in Zeile 7!",IF(E44="","Eingabe fehlt in Zeile 8!",IF(E37&lt;&gt;"",IF(E39&lt;&gt;"",IF(E40&lt;&gt;"",IF(E41&lt;&gt;"",IF(E43&lt;&gt;"",IF(E44&lt;&gt;"","Gut gemacht!  - Sie haben alle Eingabefelder ausgefüllt! Gehen Sie direkt zu Ihrer Risikoanalse 'Landkreis,Stadt'"))))))))))))</f>
        <v>Gut gemacht!  - Sie haben alle Eingabefelder ausgefüllt! Gehen Sie direkt zu Ihrer Risikoanalse 'Landkreis,Stadt'</v>
      </c>
      <c r="F47" s="183"/>
      <c r="G47" s="183"/>
      <c r="H47" s="104"/>
    </row>
    <row r="48" spans="2:8" x14ac:dyDescent="0.2">
      <c r="B48" s="105"/>
      <c r="C48" s="106"/>
      <c r="D48" s="107"/>
      <c r="E48" s="108"/>
      <c r="F48" s="107"/>
      <c r="G48" s="112" t="s">
        <v>103</v>
      </c>
      <c r="H48" s="109"/>
    </row>
    <row r="50" spans="4:4" x14ac:dyDescent="0.2">
      <c r="D50" s="171"/>
    </row>
  </sheetData>
  <sheetProtection algorithmName="SHA-512" hashValue="1mU0AasMZCohM+N33IdxETbvC3SqDiTzSIltEmw70dfn9nrNKZ1bkQI6XhKE8IOIHahdVy1q8O/NqhoWcXga9Q==" saltValue="Robyv9clLbNpZNA6Z8EXRg==" spinCount="100000" sheet="1" objects="1" scenarios="1"/>
  <mergeCells count="4">
    <mergeCell ref="C3:G3"/>
    <mergeCell ref="D7:G7"/>
    <mergeCell ref="E5:F5"/>
    <mergeCell ref="E36:F36"/>
  </mergeCells>
  <dataValidations count="11">
    <dataValidation type="date" allowBlank="1" showInputMessage="1" showErrorMessage="1" errorTitle="ungültige Eingabe" error="Geben Sie ein Datum im Format_x000a_TT,MM,JJ ein, das zwischen dem 28.0.2.2020 und heute liegt!" sqref="E8" xr:uid="{00000000-0002-0000-0000-000000000000}">
      <formula1>43891</formula1>
      <formula2>TODAY()</formula2>
    </dataValidation>
    <dataValidation type="whole" operator="greaterThan" allowBlank="1" showInputMessage="1" showErrorMessage="1" errorTitle="ungültig Eingabe" error="Geben Sie ein ganze Zahl (wie z.B. 10) ein, die größer als Null ist!" sqref="E9" xr:uid="{00000000-0002-0000-0000-000001000000}">
      <formula1>0</formula1>
    </dataValidation>
    <dataValidation type="whole" operator="greaterThanOrEqual" allowBlank="1" showInputMessage="1" showErrorMessage="1" errorTitle="ungültige Eingabe" error="Geben Sie eine ganze Zahl (wie z.B. 1.988 ) ein, die größer-gleich Null ist! " sqref="E29 E18" xr:uid="{00000000-0002-0000-0000-000002000000}">
      <formula1>0</formula1>
    </dataValidation>
    <dataValidation type="custom" allowBlank="1" showInputMessage="1" showErrorMessage="1" errorTitle="ungültige Eingabe" error="Geben Sie einen Text (wie z..B. Hamburg) ein! " sqref="E37" xr:uid="{00000000-0002-0000-0000-000003000000}">
      <formula1>ISTEXT(E37)</formula1>
    </dataValidation>
    <dataValidation type="decimal" allowBlank="1" showInputMessage="1" showErrorMessage="1" errorTitle="ungültige Eingabe" error="Geben Sie eine Zahl ein, die größer als Null und kleiner als 100 ist!" sqref="E40" xr:uid="{00000000-0002-0000-0000-000004000000}">
      <formula1>0</formula1>
      <formula2>100</formula2>
    </dataValidation>
    <dataValidation type="custom" allowBlank="1" showInputMessage="1" showErrorMessage="1" errorTitle="ungültige Eingabe" error="Geben Sie eine ganze Zahl (wie z.B. 3.268 ) ein, die größer als Null ist! _x000a_Diese Zahl kann aber nicht größer als die Anzahl der &quot;Fälle total&quot; sein." sqref="E31 E20" xr:uid="{00000000-0002-0000-0000-000005000000}">
      <formula1>E20&lt;=(E18-E19)</formula1>
    </dataValidation>
    <dataValidation type="decimal" allowBlank="1" showInputMessage="1" showErrorMessage="1" errorTitle="ungültige Eingabe" error="Geben Sie eine ganze Zahl (wie z.B. 249) ein!_x000a_Diese Zahl muss größer als Null sein, kann aber nicht größer als die Siedlungsgebietsfläche im Bundesland sein." sqref="E39" xr:uid="{00000000-0002-0000-0000-000006000000}">
      <formula1>0</formula1>
      <formula2>E26</formula2>
    </dataValidation>
    <dataValidation type="whole" allowBlank="1" showInputMessage="1" showErrorMessage="1" errorTitle="ungültige Eingabe" error="Gegen Sie eine ganze Zahl (wie z.B. 1.352)._x000a_Diese Zahl muss größer als Null sein, aber kann nicht größer als die Einwohnerzahl im Bundesland sein." sqref="E41" xr:uid="{00000000-0002-0000-0000-000007000000}">
      <formula1>1</formula1>
      <formula2>E27</formula2>
    </dataValidation>
    <dataValidation type="whole" allowBlank="1" showInputMessage="1" showErrorMessage="1" errorTitle="ungültige Eingabe" error="Geben Sie eine ganze Zahl (wie z.B. 37) ein!_x000a_Diese Zahl muss größer-gleich Null sein, kann aber nicht größer als die Zahl der &quot;Fälle total&quot; im Bundesland sein." sqref="E43" xr:uid="{00000000-0002-0000-0000-000008000000}">
      <formula1>0</formula1>
      <formula2>E29</formula2>
    </dataValidation>
    <dataValidation type="whole" allowBlank="1" showInputMessage="1" showErrorMessage="1" errorTitle="ungültige Eingabe" error="Geben Sie eine ganze Zahl (wie z.B. 32) ein!_x000a_Diese Zahl muss größer-gleich Null sein. Die Zahl muss kleiner-gleich der &quot;Fälle total&quot; sein._x000a_." sqref="E44" xr:uid="{00000000-0002-0000-0000-000009000000}">
      <formula1>0</formula1>
      <formula2>E43</formula2>
    </dataValidation>
    <dataValidation type="whole" allowBlank="1" showInputMessage="1" showErrorMessage="1" errorTitle="ungültige Eingabe" error="Geben Sie eine ganze Zahl (wie z.B. 439 ) größer Null ein!_x000a_Diese Zahl kann aber nicht größer als die Anzahl der &quot;Fälle total&quot; sein." sqref="E30 E19" xr:uid="{00000000-0002-0000-0000-00000A000000}">
      <formula1>1</formula1>
      <formula2>E18</formula2>
    </dataValidation>
  </dataValidations>
  <hyperlinks>
    <hyperlink ref="E28" r:id="rId1" display="Robert-Koch-Institut: Covid-19-Dashboard" xr:uid="{00000000-0004-0000-0000-000000000000}"/>
    <hyperlink ref="E16" r:id="rId2" display="Robert-Koch-Institut: Covid-19-Dashboard" xr:uid="{00000000-0004-0000-0000-000001000000}"/>
    <hyperlink ref="E38" r:id="rId3" xr:uid="{00000000-0004-0000-0000-000002000000}"/>
    <hyperlink ref="E17" r:id="rId4" xr:uid="{00000000-0004-0000-0000-000003000000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61" orientation="portrait" horizontalDpi="1200" verticalDpi="1200" r:id="rId5"/>
  <headerFooter>
    <oddHeader>&amp;CSchätzung meines persönlichen Covid-19 Infektions- und Sterberisikos
&amp;"Arial,Fett"&amp;12Risikoanalyse - Lightversion</oddHeader>
    <oddFooter>&amp;CSeite &amp;P von &amp;N</oddFooter>
  </headerFooter>
  <ignoredErrors>
    <ignoredError sqref="E14:E15 E26:E2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B000000}">
          <x14:formula1>
            <xm:f>allg.Daten!$D$8:$D$24</xm:f>
          </x14:formula1>
          <xm:sqref>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J47"/>
  <sheetViews>
    <sheetView showGridLines="0" showRowColHeaders="0" topLeftCell="A7" zoomScaleNormal="100" workbookViewId="0">
      <selection activeCell="D12" sqref="D12"/>
    </sheetView>
  </sheetViews>
  <sheetFormatPr baseColWidth="10" defaultColWidth="11.42578125" defaultRowHeight="12.75" x14ac:dyDescent="0.2"/>
  <cols>
    <col min="1" max="2" width="1.7109375" style="117" customWidth="1"/>
    <col min="3" max="3" width="4.85546875" style="117" customWidth="1"/>
    <col min="4" max="7" width="12.5703125" style="117" customWidth="1"/>
    <col min="8" max="8" width="1.5703125" style="117" customWidth="1"/>
    <col min="9" max="9" width="120.7109375" style="117" bestFit="1" customWidth="1"/>
    <col min="10" max="11" width="1.7109375" style="117" customWidth="1"/>
    <col min="12" max="16384" width="11.42578125" style="117"/>
  </cols>
  <sheetData>
    <row r="1" spans="2:10" ht="20.25" x14ac:dyDescent="0.3">
      <c r="B1" s="103"/>
      <c r="C1" s="319" t="str">
        <f>'Dateneingabe (HIER BEFÜLLEN!)'!C3</f>
        <v>Schätzung meines persönlichen Covid-19 Infektions- und Sterberisikos (für "Heute") - extended Version</v>
      </c>
      <c r="D1" s="319"/>
      <c r="E1" s="319"/>
      <c r="F1" s="319"/>
      <c r="G1" s="319"/>
      <c r="H1" s="319"/>
      <c r="I1" s="319"/>
      <c r="J1" s="104"/>
    </row>
    <row r="2" spans="2:10" ht="20.25" x14ac:dyDescent="0.3">
      <c r="B2" s="103"/>
      <c r="C2" s="320" t="s">
        <v>119</v>
      </c>
      <c r="D2" s="319"/>
      <c r="E2" s="319"/>
      <c r="F2" s="319"/>
      <c r="G2" s="319"/>
      <c r="H2" s="319"/>
      <c r="I2" s="319"/>
      <c r="J2" s="104"/>
    </row>
    <row r="3" spans="2:10" x14ac:dyDescent="0.2">
      <c r="B3" s="103"/>
      <c r="C3" s="10"/>
      <c r="D3" s="8"/>
      <c r="E3" s="8"/>
      <c r="F3" s="8"/>
      <c r="G3" s="8"/>
      <c r="H3" s="8"/>
      <c r="I3" s="8"/>
      <c r="J3" s="104"/>
    </row>
    <row r="4" spans="2:10" s="140" customFormat="1" ht="15.75" customHeight="1" x14ac:dyDescent="0.25">
      <c r="B4" s="136"/>
      <c r="C4" s="323" t="s">
        <v>131</v>
      </c>
      <c r="D4" s="323"/>
      <c r="E4" s="323"/>
      <c r="F4" s="137"/>
      <c r="G4" s="138"/>
      <c r="H4" s="138"/>
      <c r="I4" s="137" t="s">
        <v>113</v>
      </c>
      <c r="J4" s="139"/>
    </row>
    <row r="5" spans="2:10" x14ac:dyDescent="0.2">
      <c r="B5" s="103"/>
      <c r="C5" s="146"/>
      <c r="D5" s="147"/>
      <c r="E5" s="7"/>
      <c r="F5" s="198">
        <f>IFERROR('Dateneingabe (HIER BEFÜLLEN!)'!E8,"")</f>
        <v>44041</v>
      </c>
      <c r="G5" s="95" t="s">
        <v>86</v>
      </c>
      <c r="H5" s="206"/>
      <c r="I5" s="147"/>
      <c r="J5" s="104"/>
    </row>
    <row r="6" spans="2:10" x14ac:dyDescent="0.2">
      <c r="B6" s="103"/>
      <c r="C6" s="146"/>
      <c r="D6" s="147"/>
      <c r="E6" s="7"/>
      <c r="F6" s="199" t="str">
        <f>'Dateneingabe (HIER BEFÜLLEN!)'!E13</f>
        <v>Deutschland</v>
      </c>
      <c r="G6" s="97" t="s">
        <v>48</v>
      </c>
      <c r="H6" s="206"/>
      <c r="I6" s="147"/>
      <c r="J6" s="104"/>
    </row>
    <row r="7" spans="2:10" x14ac:dyDescent="0.2">
      <c r="B7" s="103"/>
      <c r="C7" s="146"/>
      <c r="D7" s="147"/>
      <c r="E7" s="7"/>
      <c r="F7" s="200">
        <f>IFERROR('Dateneingabe (HIER BEFÜLLEN!)'!E9,"")</f>
        <v>15</v>
      </c>
      <c r="G7" s="98" t="s">
        <v>102</v>
      </c>
      <c r="H7" s="206"/>
      <c r="I7" s="147"/>
      <c r="J7" s="104"/>
    </row>
    <row r="8" spans="2:10" x14ac:dyDescent="0.2">
      <c r="B8" s="103"/>
      <c r="C8" s="10"/>
      <c r="D8" s="8"/>
      <c r="E8" s="8"/>
      <c r="F8" s="8"/>
      <c r="G8" s="8"/>
      <c r="H8" s="8"/>
      <c r="I8" s="8"/>
      <c r="J8" s="104"/>
    </row>
    <row r="9" spans="2:10" ht="15.75" x14ac:dyDescent="0.25">
      <c r="B9" s="103"/>
      <c r="C9" s="72" t="s">
        <v>106</v>
      </c>
      <c r="D9" s="324" t="s">
        <v>105</v>
      </c>
      <c r="E9" s="324"/>
      <c r="F9" s="324"/>
      <c r="G9" s="324"/>
      <c r="H9" s="201"/>
      <c r="I9" s="131" t="s">
        <v>150</v>
      </c>
      <c r="J9" s="104"/>
    </row>
    <row r="10" spans="2:10" x14ac:dyDescent="0.2">
      <c r="B10" s="103"/>
      <c r="C10" s="148"/>
      <c r="D10" s="145"/>
      <c r="E10" s="7"/>
      <c r="F10" s="73">
        <f>'Dateneingabe (HIER BEFÜLLEN!)'!E18</f>
        <v>206926</v>
      </c>
      <c r="G10" s="44">
        <v>1</v>
      </c>
      <c r="H10" s="207"/>
      <c r="I10" s="153" t="s">
        <v>136</v>
      </c>
      <c r="J10" s="104"/>
    </row>
    <row r="11" spans="2:10" x14ac:dyDescent="0.2">
      <c r="B11" s="103"/>
      <c r="C11" s="148" t="s">
        <v>2</v>
      </c>
      <c r="D11" s="149"/>
      <c r="E11" s="7"/>
      <c r="F11" s="18">
        <f>'Dateneingabe (HIER BEFÜLLEN!)'!E19</f>
        <v>9128</v>
      </c>
      <c r="G11" s="45">
        <f>F11/F10</f>
        <v>4.411238800344084E-2</v>
      </c>
      <c r="H11" s="208"/>
      <c r="I11" s="153" t="s">
        <v>137</v>
      </c>
      <c r="J11" s="104"/>
    </row>
    <row r="12" spans="2:10" x14ac:dyDescent="0.2">
      <c r="B12" s="103"/>
      <c r="C12" s="150" t="s">
        <v>2</v>
      </c>
      <c r="D12" s="151"/>
      <c r="E12" s="196"/>
      <c r="F12" s="74">
        <f>'Dateneingabe (HIER BEFÜLLEN!)'!E20</f>
        <v>191300</v>
      </c>
      <c r="G12" s="46">
        <f>F12/F10</f>
        <v>0.92448508162338228</v>
      </c>
      <c r="H12" s="209"/>
      <c r="I12" s="154" t="s">
        <v>138</v>
      </c>
      <c r="J12" s="104"/>
    </row>
    <row r="13" spans="2:10" ht="15.75" x14ac:dyDescent="0.25">
      <c r="B13" s="103"/>
      <c r="C13" s="152" t="s">
        <v>1</v>
      </c>
      <c r="D13" s="145"/>
      <c r="E13" s="7"/>
      <c r="F13" s="75">
        <f>IFERROR(F10-F11-F12,"")</f>
        <v>6498</v>
      </c>
      <c r="G13" s="76">
        <f>IFERROR(F13/F10,"")</f>
        <v>3.1402530373176883E-2</v>
      </c>
      <c r="H13" s="210"/>
      <c r="I13" s="155" t="s">
        <v>10</v>
      </c>
      <c r="J13" s="104"/>
    </row>
    <row r="14" spans="2:10" ht="15.75" x14ac:dyDescent="0.25">
      <c r="B14" s="103"/>
      <c r="C14" s="12"/>
      <c r="D14" s="21"/>
      <c r="E14" s="47"/>
      <c r="F14" s="47"/>
      <c r="G14" s="48"/>
      <c r="H14" s="48"/>
      <c r="I14" s="15"/>
      <c r="J14" s="104"/>
    </row>
    <row r="15" spans="2:10" ht="15.75" x14ac:dyDescent="0.25">
      <c r="B15" s="103"/>
      <c r="C15" s="72" t="s">
        <v>107</v>
      </c>
      <c r="D15" s="324" t="s">
        <v>108</v>
      </c>
      <c r="E15" s="324"/>
      <c r="F15" s="324"/>
      <c r="G15" s="324"/>
      <c r="H15" s="201"/>
      <c r="I15" s="131" t="s">
        <v>151</v>
      </c>
      <c r="J15" s="104"/>
    </row>
    <row r="16" spans="2:10" x14ac:dyDescent="0.2">
      <c r="B16" s="103"/>
      <c r="C16" s="156"/>
      <c r="D16" s="321" t="s">
        <v>145</v>
      </c>
      <c r="E16" s="321"/>
      <c r="F16" s="321"/>
      <c r="G16" s="322"/>
      <c r="H16" s="223"/>
      <c r="I16" s="157" t="s">
        <v>121</v>
      </c>
      <c r="J16" s="104"/>
    </row>
    <row r="17" spans="2:10" x14ac:dyDescent="0.2">
      <c r="B17" s="103"/>
      <c r="C17" s="148"/>
      <c r="D17" s="229">
        <v>0.5</v>
      </c>
      <c r="E17" s="229">
        <v>1</v>
      </c>
      <c r="F17" s="229">
        <v>2</v>
      </c>
      <c r="G17" s="229">
        <v>3</v>
      </c>
      <c r="H17" s="212"/>
      <c r="I17" s="159" t="s">
        <v>8</v>
      </c>
      <c r="J17" s="104"/>
    </row>
    <row r="18" spans="2:10" x14ac:dyDescent="0.2">
      <c r="B18" s="103"/>
      <c r="C18" s="231" t="s">
        <v>3</v>
      </c>
      <c r="D18" s="230">
        <f>F13</f>
        <v>6498</v>
      </c>
      <c r="E18" s="19">
        <f>D18</f>
        <v>6498</v>
      </c>
      <c r="F18" s="19">
        <f t="shared" ref="F18:G18" si="0">E18</f>
        <v>6498</v>
      </c>
      <c r="G18" s="19">
        <f t="shared" si="0"/>
        <v>6498</v>
      </c>
      <c r="H18" s="211"/>
      <c r="I18" s="158" t="str">
        <f>I13</f>
        <v>Anzahl bekannter aktiv-infektiöser Menschen (ohne Infektionsgefahr, da in Quarantäne)</v>
      </c>
      <c r="J18" s="104"/>
    </row>
    <row r="19" spans="2:10" ht="15.75" x14ac:dyDescent="0.25">
      <c r="B19" s="103"/>
      <c r="C19" s="152" t="s">
        <v>1</v>
      </c>
      <c r="D19" s="58">
        <f>IFERROR(ROUND(D18*D17,0),"")</f>
        <v>3249</v>
      </c>
      <c r="E19" s="58">
        <f>IFERROR(ROUND(E18*E17,0),"")</f>
        <v>6498</v>
      </c>
      <c r="F19" s="58">
        <f>IFERROR(ROUND(F18*F17,0),"")</f>
        <v>12996</v>
      </c>
      <c r="G19" s="58">
        <f>IFERROR(ROUND(G18*G17,0),"")</f>
        <v>19494</v>
      </c>
      <c r="H19" s="213"/>
      <c r="I19" s="155" t="s">
        <v>11</v>
      </c>
      <c r="J19" s="104"/>
    </row>
    <row r="20" spans="2:10" x14ac:dyDescent="0.2">
      <c r="B20" s="103"/>
      <c r="C20" s="10"/>
      <c r="D20" s="1"/>
      <c r="E20" s="1"/>
      <c r="F20" s="1"/>
      <c r="G20" s="1"/>
      <c r="H20" s="1"/>
      <c r="I20" s="1"/>
      <c r="J20" s="104"/>
    </row>
    <row r="21" spans="2:10" ht="15.75" x14ac:dyDescent="0.25">
      <c r="B21" s="103"/>
      <c r="C21" s="129" t="s">
        <v>139</v>
      </c>
      <c r="D21" s="315" t="s">
        <v>110</v>
      </c>
      <c r="E21" s="315"/>
      <c r="F21" s="315"/>
      <c r="G21" s="315"/>
      <c r="H21" s="202"/>
      <c r="I21" s="133" t="s">
        <v>147</v>
      </c>
      <c r="J21" s="104"/>
    </row>
    <row r="22" spans="2:10" x14ac:dyDescent="0.2">
      <c r="B22" s="103"/>
      <c r="C22" s="148"/>
      <c r="D22" s="77">
        <f>'Dateneingabe (HIER BEFÜLLEN!)'!E14</f>
        <v>33267.97</v>
      </c>
      <c r="E22" s="77">
        <f>D22</f>
        <v>33267.97</v>
      </c>
      <c r="F22" s="77">
        <f t="shared" ref="F22:G22" si="1">E22</f>
        <v>33267.97</v>
      </c>
      <c r="G22" s="77">
        <f t="shared" si="1"/>
        <v>33267.97</v>
      </c>
      <c r="H22" s="214"/>
      <c r="I22" s="153" t="s">
        <v>68</v>
      </c>
      <c r="J22" s="104"/>
    </row>
    <row r="23" spans="2:10" x14ac:dyDescent="0.2">
      <c r="B23" s="103"/>
      <c r="C23" s="150" t="s">
        <v>0</v>
      </c>
      <c r="D23" s="4">
        <f>D19</f>
        <v>3249</v>
      </c>
      <c r="E23" s="4">
        <f>E19</f>
        <v>6498</v>
      </c>
      <c r="F23" s="4">
        <f>F19</f>
        <v>12996</v>
      </c>
      <c r="G23" s="4">
        <f>G19</f>
        <v>19494</v>
      </c>
      <c r="H23" s="215"/>
      <c r="I23" s="162" t="str">
        <f>I19</f>
        <v>Anzahl unbekannter aktiv-infektiöser Menschen (mit Infektionsgefahr, da nicht in Quarantäne)</v>
      </c>
      <c r="J23" s="104"/>
    </row>
    <row r="24" spans="2:10" ht="15.75" x14ac:dyDescent="0.25">
      <c r="B24" s="103"/>
      <c r="C24" s="152" t="s">
        <v>1</v>
      </c>
      <c r="D24" s="11">
        <f>IFERROR(IF(D23=0,D22,D22/D23),"")</f>
        <v>10.239449061249616</v>
      </c>
      <c r="E24" s="11">
        <f>IFERROR(IF(E23=0,E22,E22/E23),"")</f>
        <v>5.1197245306248078</v>
      </c>
      <c r="F24" s="11">
        <f>IFERROR(IF(F23=0,F22,F22/F23),"")</f>
        <v>2.5598622653124039</v>
      </c>
      <c r="G24" s="11">
        <f>IFERROR(IF(G23=0,G22,G22/G23),"")</f>
        <v>1.7065748435416026</v>
      </c>
      <c r="H24" s="216"/>
      <c r="I24" s="155" t="s">
        <v>127</v>
      </c>
      <c r="J24" s="104"/>
    </row>
    <row r="25" spans="2:10" ht="15.75" x14ac:dyDescent="0.25">
      <c r="B25" s="103"/>
      <c r="C25" s="12"/>
      <c r="D25" s="172"/>
      <c r="E25" s="172"/>
      <c r="F25" s="172"/>
      <c r="G25" s="172"/>
      <c r="H25" s="172"/>
      <c r="I25" s="15"/>
      <c r="J25" s="104"/>
    </row>
    <row r="26" spans="2:10" ht="15.75" x14ac:dyDescent="0.25">
      <c r="B26" s="103"/>
      <c r="C26" s="128" t="s">
        <v>51</v>
      </c>
      <c r="D26" s="316" t="s">
        <v>109</v>
      </c>
      <c r="E26" s="316"/>
      <c r="F26" s="316"/>
      <c r="G26" s="316"/>
      <c r="H26" s="203"/>
      <c r="I26" s="132" t="s">
        <v>146</v>
      </c>
      <c r="J26" s="104"/>
    </row>
    <row r="27" spans="2:10" x14ac:dyDescent="0.2">
      <c r="B27" s="103"/>
      <c r="C27" s="148"/>
      <c r="D27" s="3">
        <f>'Dateneingabe (HIER BEFÜLLEN!)'!E15</f>
        <v>83019213</v>
      </c>
      <c r="E27" s="3">
        <f>D27</f>
        <v>83019213</v>
      </c>
      <c r="F27" s="3">
        <f t="shared" ref="F27:G27" si="2">E27</f>
        <v>83019213</v>
      </c>
      <c r="G27" s="3">
        <f t="shared" si="2"/>
        <v>83019213</v>
      </c>
      <c r="H27" s="214"/>
      <c r="I27" s="153" t="s">
        <v>12</v>
      </c>
      <c r="J27" s="104"/>
    </row>
    <row r="28" spans="2:10" x14ac:dyDescent="0.2">
      <c r="B28" s="103"/>
      <c r="C28" s="148" t="s">
        <v>0</v>
      </c>
      <c r="D28" s="173">
        <f>IFERROR(D19,"")</f>
        <v>3249</v>
      </c>
      <c r="E28" s="173">
        <f>IFERROR(E19,"")</f>
        <v>6498</v>
      </c>
      <c r="F28" s="173">
        <f>IFERROR(F19,"")</f>
        <v>12996</v>
      </c>
      <c r="G28" s="173">
        <f>IFERROR(G19,"")</f>
        <v>19494</v>
      </c>
      <c r="H28" s="217"/>
      <c r="I28" s="155" t="str">
        <f>I23</f>
        <v>Anzahl unbekannter aktiv-infektiöser Menschen (mit Infektionsgefahr, da nicht in Quarantäne)</v>
      </c>
      <c r="J28" s="104"/>
    </row>
    <row r="29" spans="2:10" ht="15.75" x14ac:dyDescent="0.25">
      <c r="B29" s="103"/>
      <c r="C29" s="160" t="s">
        <v>1</v>
      </c>
      <c r="D29" s="58">
        <f>IFERROR(IF(D28=0,D27,ROUND(D27/D28,0)),"")</f>
        <v>25552</v>
      </c>
      <c r="E29" s="58">
        <f t="shared" ref="E29:G29" si="3">IFERROR(IF(E28=0,E27,ROUND(E27/E28,0)),"")</f>
        <v>12776</v>
      </c>
      <c r="F29" s="58">
        <f t="shared" si="3"/>
        <v>6388</v>
      </c>
      <c r="G29" s="58">
        <f t="shared" si="3"/>
        <v>4259</v>
      </c>
      <c r="H29" s="218"/>
      <c r="I29" s="161" t="s">
        <v>126</v>
      </c>
      <c r="J29" s="104"/>
    </row>
    <row r="30" spans="2:10" ht="15" x14ac:dyDescent="0.2">
      <c r="B30" s="103"/>
      <c r="C30" s="152" t="s">
        <v>1</v>
      </c>
      <c r="D30" s="263">
        <f>IFERROR(1/D29,"")</f>
        <v>3.9135879774577331E-5</v>
      </c>
      <c r="E30" s="263">
        <f t="shared" ref="E30:G30" si="4">IFERROR(1/E29,"")</f>
        <v>7.8271759549154661E-5</v>
      </c>
      <c r="F30" s="263">
        <f t="shared" si="4"/>
        <v>1.5654351909830932E-4</v>
      </c>
      <c r="G30" s="263">
        <f t="shared" si="4"/>
        <v>2.3479690068091102E-4</v>
      </c>
      <c r="H30" s="219"/>
      <c r="I30" s="155" t="s">
        <v>129</v>
      </c>
      <c r="J30" s="104"/>
    </row>
    <row r="31" spans="2:10" x14ac:dyDescent="0.2">
      <c r="B31" s="103"/>
      <c r="C31" s="12"/>
      <c r="D31" s="13"/>
      <c r="E31" s="13"/>
      <c r="F31" s="13"/>
      <c r="G31" s="13"/>
      <c r="H31" s="13"/>
      <c r="I31" s="2"/>
      <c r="J31" s="104"/>
    </row>
    <row r="32" spans="2:10" ht="15.75" x14ac:dyDescent="0.25">
      <c r="B32" s="103"/>
      <c r="C32" s="130" t="s">
        <v>111</v>
      </c>
      <c r="D32" s="317" t="s">
        <v>122</v>
      </c>
      <c r="E32" s="317"/>
      <c r="F32" s="317"/>
      <c r="G32" s="317"/>
      <c r="H32" s="204"/>
      <c r="I32" s="130" t="s">
        <v>148</v>
      </c>
      <c r="J32" s="104"/>
    </row>
    <row r="33" spans="2:10" x14ac:dyDescent="0.2">
      <c r="B33" s="103"/>
      <c r="C33" s="148"/>
      <c r="D33" s="16">
        <f>IFERROR(D29,"")</f>
        <v>25552</v>
      </c>
      <c r="E33" s="16">
        <f>IFERROR(E29,"")</f>
        <v>12776</v>
      </c>
      <c r="F33" s="16">
        <f>IFERROR(F29,"")</f>
        <v>6388</v>
      </c>
      <c r="G33" s="3">
        <f>IFERROR(G29,"")</f>
        <v>4259</v>
      </c>
      <c r="H33" s="214"/>
      <c r="I33" s="155" t="str">
        <f>I29</f>
        <v>Größe der Einwohnergruppe in der sich durchschnittlich je 1 unbekannter infektiöser Mensch befindet</v>
      </c>
      <c r="J33" s="104"/>
    </row>
    <row r="34" spans="2:10" x14ac:dyDescent="0.2">
      <c r="B34" s="103"/>
      <c r="C34" s="150" t="s">
        <v>0</v>
      </c>
      <c r="D34" s="20">
        <f>'Dateneingabe (HIER BEFÜLLEN!)'!E9</f>
        <v>15</v>
      </c>
      <c r="E34" s="4">
        <f>D34</f>
        <v>15</v>
      </c>
      <c r="F34" s="4">
        <f>E34</f>
        <v>15</v>
      </c>
      <c r="G34" s="4">
        <f>D34</f>
        <v>15</v>
      </c>
      <c r="H34" s="215"/>
      <c r="I34" s="154" t="s">
        <v>130</v>
      </c>
      <c r="J34" s="104"/>
    </row>
    <row r="35" spans="2:10" ht="15.75" x14ac:dyDescent="0.25">
      <c r="B35" s="103"/>
      <c r="C35" s="152" t="s">
        <v>1</v>
      </c>
      <c r="D35" s="168">
        <f>IFERROR(ROUND(D33/D34,4),"")</f>
        <v>1703.4666999999999</v>
      </c>
      <c r="E35" s="168">
        <f>IFERROR(ROUND(E33/E34,4),"")</f>
        <v>851.73329999999999</v>
      </c>
      <c r="F35" s="168">
        <f>IFERROR(ROUND(F33/F34,4),"")</f>
        <v>425.86669999999998</v>
      </c>
      <c r="G35" s="59">
        <f t="shared" ref="G35" si="5">IFERROR(ROUND(G33/G34,4),"")</f>
        <v>283.93329999999997</v>
      </c>
      <c r="H35" s="216"/>
      <c r="I35" s="163" t="s">
        <v>128</v>
      </c>
      <c r="J35" s="104"/>
    </row>
    <row r="36" spans="2:10" ht="15" x14ac:dyDescent="0.2">
      <c r="B36" s="103"/>
      <c r="C36" s="152" t="s">
        <v>1</v>
      </c>
      <c r="D36" s="264">
        <f>IFERROR(1/D35,"")</f>
        <v>5.8703818513153208E-4</v>
      </c>
      <c r="E36" s="264">
        <f>IFERROR(1/E35,"")</f>
        <v>1.1740764391858344E-3</v>
      </c>
      <c r="F36" s="264">
        <f>IFERROR(1/F35,"")</f>
        <v>2.3481526026806043E-3</v>
      </c>
      <c r="G36" s="264">
        <f t="shared" ref="G36" si="6">IFERROR(1/G35,"")</f>
        <v>3.5219539236855985E-3</v>
      </c>
      <c r="H36" s="219"/>
      <c r="I36" s="163" t="s">
        <v>169</v>
      </c>
      <c r="J36" s="104"/>
    </row>
    <row r="37" spans="2:10" ht="15.75" x14ac:dyDescent="0.25">
      <c r="B37" s="103"/>
      <c r="C37" s="12"/>
      <c r="D37" s="14"/>
      <c r="E37" s="14"/>
      <c r="F37" s="14"/>
      <c r="G37" s="14"/>
      <c r="H37" s="14"/>
      <c r="I37" s="8"/>
      <c r="J37" s="104"/>
    </row>
    <row r="38" spans="2:10" ht="15.75" x14ac:dyDescent="0.25">
      <c r="B38" s="103"/>
      <c r="C38" s="130" t="s">
        <v>112</v>
      </c>
      <c r="D38" s="318" t="s">
        <v>123</v>
      </c>
      <c r="E38" s="318"/>
      <c r="F38" s="318"/>
      <c r="G38" s="318"/>
      <c r="H38" s="205"/>
      <c r="I38" s="134" t="s">
        <v>149</v>
      </c>
      <c r="J38" s="104"/>
    </row>
    <row r="39" spans="2:10" x14ac:dyDescent="0.2">
      <c r="B39" s="103"/>
      <c r="C39" s="164"/>
      <c r="D39" s="169">
        <f>IFERROR(D35,"")</f>
        <v>1703.4666999999999</v>
      </c>
      <c r="E39" s="169">
        <f>IFERROR(E35,"")</f>
        <v>851.73329999999999</v>
      </c>
      <c r="F39" s="169">
        <f>IFERROR(F35,"")</f>
        <v>425.86669999999998</v>
      </c>
      <c r="G39" s="170">
        <f>IFERROR(G35,"")</f>
        <v>283.93329999999997</v>
      </c>
      <c r="H39" s="217"/>
      <c r="I39" s="153" t="str">
        <f>I35</f>
        <v>Anzahl von Tagen, die ich durchschnittlich benötigen würde, um mit 1 unbekannten infektiösen Menschen in Nahkontakt (&lt;1,5 m) zu kommen</v>
      </c>
      <c r="J39" s="104"/>
    </row>
    <row r="40" spans="2:10" x14ac:dyDescent="0.2">
      <c r="B40" s="103"/>
      <c r="C40" s="165" t="s">
        <v>0</v>
      </c>
      <c r="D40" s="17">
        <f>'Dateneingabe (HIER BEFÜLLEN!)'!F19</f>
        <v>4.41E-2</v>
      </c>
      <c r="E40" s="17">
        <f>D40</f>
        <v>4.41E-2</v>
      </c>
      <c r="F40" s="17">
        <f>E40</f>
        <v>4.41E-2</v>
      </c>
      <c r="G40" s="5">
        <f>D40</f>
        <v>4.41E-2</v>
      </c>
      <c r="H40" s="225"/>
      <c r="I40" s="153" t="s">
        <v>13</v>
      </c>
      <c r="J40" s="104"/>
    </row>
    <row r="41" spans="2:10" x14ac:dyDescent="0.2">
      <c r="B41" s="103"/>
      <c r="C41" s="164" t="s">
        <v>1</v>
      </c>
      <c r="D41" s="170">
        <f>IFERROR(ROUND(D39/D40,2),"")</f>
        <v>38627.360000000001</v>
      </c>
      <c r="E41" s="170">
        <f t="shared" ref="E41:G41" si="7">IFERROR(ROUND(E39/E40,2),"")</f>
        <v>19313.68</v>
      </c>
      <c r="F41" s="170">
        <f t="shared" ref="F41" si="8">IFERROR(ROUND(F39/F40,2),"")</f>
        <v>9656.84</v>
      </c>
      <c r="G41" s="169">
        <f t="shared" si="7"/>
        <v>6438.4</v>
      </c>
      <c r="H41" s="220"/>
      <c r="I41" s="224" t="s">
        <v>124</v>
      </c>
      <c r="J41" s="104"/>
    </row>
    <row r="42" spans="2:10" x14ac:dyDescent="0.2">
      <c r="B42" s="103"/>
      <c r="C42" s="167" t="s">
        <v>0</v>
      </c>
      <c r="D42" s="6">
        <f>IF(D41="","",365.25)</f>
        <v>365.25</v>
      </c>
      <c r="E42" s="6">
        <f t="shared" ref="E42:G42" si="9">IF(E41="","",365.25)</f>
        <v>365.25</v>
      </c>
      <c r="F42" s="6">
        <f t="shared" ref="F42" si="10">IF(F41="","",365.25)</f>
        <v>365.25</v>
      </c>
      <c r="G42" s="195">
        <f t="shared" si="9"/>
        <v>365.25</v>
      </c>
      <c r="H42" s="221"/>
      <c r="I42" s="154" t="s">
        <v>4</v>
      </c>
      <c r="J42" s="104"/>
    </row>
    <row r="43" spans="2:10" ht="15.75" x14ac:dyDescent="0.25">
      <c r="B43" s="103"/>
      <c r="C43" s="166" t="s">
        <v>1</v>
      </c>
      <c r="D43" s="59">
        <f>IFERROR(ROUND(D41/D42,2),"")</f>
        <v>105.76</v>
      </c>
      <c r="E43" s="59">
        <f t="shared" ref="E43:G43" si="11">IFERROR(ROUND(E41/E42,2),"")</f>
        <v>52.88</v>
      </c>
      <c r="F43" s="59">
        <f t="shared" ref="F43" si="12">IFERROR(ROUND(F41/F42,2),"")</f>
        <v>26.44</v>
      </c>
      <c r="G43" s="59">
        <f t="shared" si="11"/>
        <v>17.63</v>
      </c>
      <c r="H43" s="216"/>
      <c r="I43" s="153" t="s">
        <v>125</v>
      </c>
      <c r="J43" s="104"/>
    </row>
    <row r="44" spans="2:10" ht="15" x14ac:dyDescent="0.2">
      <c r="B44" s="103"/>
      <c r="C44" s="166" t="s">
        <v>1</v>
      </c>
      <c r="D44" s="264">
        <f>IFERROR(1/D41,"")</f>
        <v>2.5888385848786973E-5</v>
      </c>
      <c r="E44" s="264">
        <f t="shared" ref="E44:G44" si="13">IFERROR(1/E41,"")</f>
        <v>5.1776771697573946E-5</v>
      </c>
      <c r="F44" s="264">
        <f t="shared" ref="F44" si="14">IFERROR(1/F41,"")</f>
        <v>1.0355354339514789E-4</v>
      </c>
      <c r="G44" s="264">
        <f t="shared" si="13"/>
        <v>1.5531809145129225E-4</v>
      </c>
      <c r="H44" s="219"/>
      <c r="I44" s="153" t="s">
        <v>170</v>
      </c>
      <c r="J44" s="104"/>
    </row>
    <row r="45" spans="2:10" x14ac:dyDescent="0.2">
      <c r="B45" s="105"/>
      <c r="C45" s="110"/>
      <c r="D45" s="111"/>
      <c r="E45" s="111"/>
      <c r="F45" s="111"/>
      <c r="G45" s="111"/>
      <c r="H45" s="111"/>
      <c r="I45" s="112" t="str">
        <f>'Dateneingabe (HIER BEFÜLLEN!)'!G48</f>
        <v>Autor: www.uwe-loose.de</v>
      </c>
      <c r="J45" s="109"/>
    </row>
    <row r="47" spans="2:10" x14ac:dyDescent="0.2">
      <c r="D47" s="171"/>
    </row>
  </sheetData>
  <sheetProtection algorithmName="SHA-512" hashValue="ZEfR4J/ytNkKrqr0TTAXScKfx8nSvH6kuodVqMHI1wIP0c8V9VeIHtXXEhdRrHq+kREi/yp9aEioErAq22pqgQ==" saltValue="rudS1YU/I/TYPSKSLDQcYg==" spinCount="100000" sheet="1" objects="1" scenarios="1"/>
  <mergeCells count="10">
    <mergeCell ref="D21:G21"/>
    <mergeCell ref="D26:G26"/>
    <mergeCell ref="D32:G32"/>
    <mergeCell ref="D38:G38"/>
    <mergeCell ref="C1:I1"/>
    <mergeCell ref="C2:I2"/>
    <mergeCell ref="D16:G16"/>
    <mergeCell ref="C4:E4"/>
    <mergeCell ref="D9:G9"/>
    <mergeCell ref="D15:G1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1" orientation="portrait" horizontalDpi="1200" verticalDpi="1200" r:id="rId1"/>
  <headerFooter>
    <oddHeader>&amp;CSchätzung meines persönlichen Covid-19 Infektions- und Sterberisikos
&amp;"Arial,Fett"&amp;12Risikoanalyse - Lightversion</oddHeader>
    <oddFooter>&amp;CSeite &amp;P von &amp;N</oddFooter>
  </headerFooter>
  <ignoredErrors>
    <ignoredError sqref="I18 I23 I28 I39 I33 I45" unlockedFormula="1"/>
    <ignoredError sqref="F42:G42 D42:E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  <pageSetUpPr fitToPage="1"/>
  </sheetPr>
  <dimension ref="B2:J49"/>
  <sheetViews>
    <sheetView showGridLines="0" topLeftCell="B1" zoomScaleNormal="100" workbookViewId="0">
      <selection activeCell="D69" sqref="D69"/>
    </sheetView>
  </sheetViews>
  <sheetFormatPr baseColWidth="10" defaultColWidth="11.42578125" defaultRowHeight="12.75" x14ac:dyDescent="0.2"/>
  <cols>
    <col min="1" max="2" width="1.7109375" style="117" customWidth="1"/>
    <col min="3" max="3" width="4.85546875" style="117" customWidth="1"/>
    <col min="4" max="7" width="12.5703125" style="117" customWidth="1"/>
    <col min="8" max="8" width="1.5703125" style="117" customWidth="1"/>
    <col min="9" max="9" width="126" style="117" bestFit="1" customWidth="1"/>
    <col min="10" max="11" width="1.7109375" style="117" customWidth="1"/>
    <col min="12" max="16384" width="11.42578125" style="117"/>
  </cols>
  <sheetData>
    <row r="2" spans="2:10" x14ac:dyDescent="0.2">
      <c r="B2" s="99"/>
      <c r="C2" s="100"/>
      <c r="D2" s="101"/>
      <c r="E2" s="101"/>
      <c r="F2" s="101"/>
      <c r="G2" s="101"/>
      <c r="H2" s="101"/>
      <c r="I2" s="101"/>
      <c r="J2" s="102"/>
    </row>
    <row r="3" spans="2:10" ht="20.25" x14ac:dyDescent="0.3">
      <c r="B3" s="103"/>
      <c r="C3" s="319" t="str">
        <f>'Risiko für Deutschland'!C1</f>
        <v>Schätzung meines persönlichen Covid-19 Infektions- und Sterberisikos (für "Heute") - extended Version</v>
      </c>
      <c r="D3" s="319"/>
      <c r="E3" s="319"/>
      <c r="F3" s="319"/>
      <c r="G3" s="319"/>
      <c r="H3" s="319"/>
      <c r="I3" s="319"/>
      <c r="J3" s="104"/>
    </row>
    <row r="4" spans="2:10" ht="20.25" x14ac:dyDescent="0.3">
      <c r="B4" s="103"/>
      <c r="C4" s="320" t="s">
        <v>119</v>
      </c>
      <c r="D4" s="319"/>
      <c r="E4" s="319"/>
      <c r="F4" s="319"/>
      <c r="G4" s="319"/>
      <c r="H4" s="319"/>
      <c r="I4" s="319"/>
      <c r="J4" s="104"/>
    </row>
    <row r="5" spans="2:10" x14ac:dyDescent="0.2">
      <c r="B5" s="103"/>
      <c r="C5" s="10"/>
      <c r="D5" s="8"/>
      <c r="E5" s="8"/>
      <c r="F5" s="8"/>
      <c r="G5" s="8"/>
      <c r="H5" s="8"/>
      <c r="I5" s="8"/>
      <c r="J5" s="104"/>
    </row>
    <row r="6" spans="2:10" s="140" customFormat="1" ht="15.75" customHeight="1" x14ac:dyDescent="0.25">
      <c r="B6" s="136"/>
      <c r="C6" s="323" t="s">
        <v>28</v>
      </c>
      <c r="D6" s="323"/>
      <c r="E6" s="323"/>
      <c r="F6" s="137"/>
      <c r="G6" s="138"/>
      <c r="H6" s="138"/>
      <c r="I6" s="137" t="s">
        <v>113</v>
      </c>
      <c r="J6" s="139"/>
    </row>
    <row r="7" spans="2:10" x14ac:dyDescent="0.2">
      <c r="B7" s="103"/>
      <c r="C7" s="146"/>
      <c r="D7" s="147"/>
      <c r="E7" s="7"/>
      <c r="F7" s="94">
        <f>'Dateneingabe (HIER BEFÜLLEN!)'!E8</f>
        <v>44041</v>
      </c>
      <c r="G7" s="95" t="s">
        <v>86</v>
      </c>
      <c r="H7" s="206"/>
      <c r="I7" s="147"/>
      <c r="J7" s="104"/>
    </row>
    <row r="8" spans="2:10" x14ac:dyDescent="0.2">
      <c r="B8" s="103"/>
      <c r="C8" s="146"/>
      <c r="D8" s="147"/>
      <c r="E8" s="7"/>
      <c r="F8" s="115" t="str">
        <f>'Dateneingabe (HIER BEFÜLLEN!)'!E25</f>
        <v>NRW</v>
      </c>
      <c r="G8" s="97" t="s">
        <v>28</v>
      </c>
      <c r="H8" s="206"/>
      <c r="I8" s="147"/>
      <c r="J8" s="104"/>
    </row>
    <row r="9" spans="2:10" x14ac:dyDescent="0.2">
      <c r="B9" s="103"/>
      <c r="C9" s="146"/>
      <c r="D9" s="147"/>
      <c r="E9" s="7"/>
      <c r="F9" s="116">
        <f>'Dateneingabe (HIER BEFÜLLEN!)'!E9</f>
        <v>15</v>
      </c>
      <c r="G9" s="98" t="s">
        <v>102</v>
      </c>
      <c r="H9" s="206"/>
      <c r="I9" s="147"/>
      <c r="J9" s="104"/>
    </row>
    <row r="10" spans="2:10" x14ac:dyDescent="0.2">
      <c r="B10" s="103"/>
      <c r="C10" s="10"/>
      <c r="D10" s="8"/>
      <c r="E10" s="8"/>
      <c r="F10" s="8"/>
      <c r="G10" s="8"/>
      <c r="H10" s="8"/>
      <c r="I10" s="8"/>
      <c r="J10" s="104"/>
    </row>
    <row r="11" spans="2:10" ht="15.75" x14ac:dyDescent="0.25">
      <c r="B11" s="103"/>
      <c r="C11" s="72" t="s">
        <v>106</v>
      </c>
      <c r="D11" s="324" t="str">
        <f>'Risiko für Deutschland'!D9</f>
        <v xml:space="preserve">Anzahl bekannter infektiöser Menschen </v>
      </c>
      <c r="E11" s="324"/>
      <c r="F11" s="324"/>
      <c r="G11" s="324"/>
      <c r="H11" s="201"/>
      <c r="I11" s="131" t="str">
        <f>'Risiko für Deutschland'!I9</f>
        <v>im räumlichen Gebiet in Quarantäne, d.h. ohne Infektionsgefahr für mich</v>
      </c>
      <c r="J11" s="104"/>
    </row>
    <row r="12" spans="2:10" x14ac:dyDescent="0.2">
      <c r="B12" s="103"/>
      <c r="C12" s="148"/>
      <c r="D12" s="145"/>
      <c r="E12" s="7"/>
      <c r="F12" s="22">
        <f>IF('Dateneingabe (HIER BEFÜLLEN!)'!E29="","",'Dateneingabe (HIER BEFÜLLEN!)'!E29)</f>
        <v>47965</v>
      </c>
      <c r="G12" s="226">
        <f>IF(F12="","",(100%))</f>
        <v>1</v>
      </c>
      <c r="H12" s="207"/>
      <c r="I12" s="153" t="str">
        <f>'Risiko für Deutschland'!I10</f>
        <v>Fälle total</v>
      </c>
      <c r="J12" s="104"/>
    </row>
    <row r="13" spans="2:10" x14ac:dyDescent="0.2">
      <c r="B13" s="103"/>
      <c r="C13" s="148" t="s">
        <v>2</v>
      </c>
      <c r="D13" s="149"/>
      <c r="E13" s="7"/>
      <c r="F13" s="19">
        <f>IF('Dateneingabe (HIER BEFÜLLEN!)'!E30="","",'Dateneingabe (HIER BEFÜLLEN!)'!E30)</f>
        <v>1730</v>
      </c>
      <c r="G13" s="227">
        <f>IF(F13="","",F13/F12)</f>
        <v>3.6067966225372665E-2</v>
      </c>
      <c r="H13" s="208"/>
      <c r="I13" s="153" t="str">
        <f>'Risiko für Deutschland'!I11</f>
        <v>Todesfälle</v>
      </c>
      <c r="J13" s="104"/>
    </row>
    <row r="14" spans="2:10" x14ac:dyDescent="0.2">
      <c r="B14" s="103"/>
      <c r="C14" s="150" t="s">
        <v>2</v>
      </c>
      <c r="D14" s="151"/>
      <c r="E14" s="151"/>
      <c r="F14" s="23">
        <f>IF('Dateneingabe (HIER BEFÜLLEN!)'!E31="","",'Dateneingabe (HIER BEFÜLLEN!)'!E31)</f>
        <v>43700</v>
      </c>
      <c r="G14" s="228">
        <f>IF(F14="","",F14/F12)</f>
        <v>0.91108099655999164</v>
      </c>
      <c r="H14" s="222"/>
      <c r="I14" s="162" t="str">
        <f>'Risiko für Deutschland'!I12</f>
        <v>Genesene</v>
      </c>
      <c r="J14" s="104"/>
    </row>
    <row r="15" spans="2:10" ht="15.75" x14ac:dyDescent="0.25">
      <c r="B15" s="103"/>
      <c r="C15" s="152" t="s">
        <v>1</v>
      </c>
      <c r="D15" s="145"/>
      <c r="E15" s="7"/>
      <c r="F15" s="75">
        <f>IFERROR(F12-F13-F14,"")</f>
        <v>2535</v>
      </c>
      <c r="G15" s="76">
        <f>IFERROR(F15/F12,"")</f>
        <v>5.2851037214635674E-2</v>
      </c>
      <c r="H15" s="210"/>
      <c r="I15" s="155" t="str">
        <f>'Risiko für Deutschland'!I13</f>
        <v>Anzahl bekannter aktiv-infektiöser Menschen (ohne Infektionsgefahr, da in Quarantäne)</v>
      </c>
      <c r="J15" s="104"/>
    </row>
    <row r="16" spans="2:10" ht="15.75" x14ac:dyDescent="0.25">
      <c r="B16" s="103"/>
      <c r="C16" s="12"/>
      <c r="D16" s="21"/>
      <c r="E16" s="47"/>
      <c r="F16" s="47"/>
      <c r="G16" s="48"/>
      <c r="H16" s="48"/>
      <c r="I16" s="15"/>
      <c r="J16" s="104"/>
    </row>
    <row r="17" spans="2:10" ht="15.75" x14ac:dyDescent="0.25">
      <c r="B17" s="103"/>
      <c r="C17" s="72" t="s">
        <v>107</v>
      </c>
      <c r="D17" s="324" t="str">
        <f>'Risiko für Deutschland'!D15</f>
        <v>Anzahl unbekannter infektiöser Menschen</v>
      </c>
      <c r="E17" s="324"/>
      <c r="F17" s="324"/>
      <c r="G17" s="324"/>
      <c r="H17" s="201"/>
      <c r="I17" s="131" t="str">
        <f>'Risiko für Deutschland'!I15</f>
        <v>im räumlichen Gebiet nicht in Quarantäne, d.h. mit Infektionsgefahr für mich</v>
      </c>
      <c r="J17" s="104"/>
    </row>
    <row r="18" spans="2:10" x14ac:dyDescent="0.2">
      <c r="B18" s="103"/>
      <c r="C18" s="156"/>
      <c r="D18" s="325" t="str">
        <f>'Risiko für Deutschland'!D16</f>
        <v>frei geschätzte Spanne des R-Werts für "Morgen"</v>
      </c>
      <c r="E18" s="325"/>
      <c r="F18" s="325"/>
      <c r="G18" s="326"/>
      <c r="H18" s="156"/>
      <c r="I18" s="157" t="str">
        <f>'Risiko für Deutschland'!I16</f>
        <v>Szenarien für den Reproduktionsfaktor (bis zur Veröffentlichung der nächsten RKI-Daten, d.h. "Morgen")</v>
      </c>
      <c r="J18" s="104"/>
    </row>
    <row r="19" spans="2:10" x14ac:dyDescent="0.2">
      <c r="B19" s="103"/>
      <c r="C19" s="231"/>
      <c r="D19" s="232">
        <f>IF(D20="","",'Risiko für Deutschland'!D17)</f>
        <v>0.5</v>
      </c>
      <c r="E19" s="229">
        <f>IF(E20="","",'Risiko für Deutschland'!E17)</f>
        <v>1</v>
      </c>
      <c r="F19" s="229">
        <f>IF(F20="","",'Risiko für Deutschland'!F17)</f>
        <v>2</v>
      </c>
      <c r="G19" s="229">
        <f>IF(G20="","",'Risiko für Deutschland'!G17)</f>
        <v>3</v>
      </c>
      <c r="H19" s="212"/>
      <c r="I19" s="159" t="str">
        <f>'Risiko für Deutschland'!I17</f>
        <v>Reproduktionswert (Anzahl von Menschen, die ein Infizierter neu infiziert)</v>
      </c>
      <c r="J19" s="104"/>
    </row>
    <row r="20" spans="2:10" x14ac:dyDescent="0.2">
      <c r="B20" s="103"/>
      <c r="C20" s="148" t="s">
        <v>3</v>
      </c>
      <c r="D20" s="19">
        <f>F15</f>
        <v>2535</v>
      </c>
      <c r="E20" s="19">
        <f>D20</f>
        <v>2535</v>
      </c>
      <c r="F20" s="19">
        <f>E20</f>
        <v>2535</v>
      </c>
      <c r="G20" s="19">
        <f>D20</f>
        <v>2535</v>
      </c>
      <c r="H20" s="211"/>
      <c r="I20" s="158" t="str">
        <f>'Risiko für Deutschland'!I18</f>
        <v>Anzahl bekannter aktiv-infektiöser Menschen (ohne Infektionsgefahr, da in Quarantäne)</v>
      </c>
      <c r="J20" s="104"/>
    </row>
    <row r="21" spans="2:10" ht="15.75" x14ac:dyDescent="0.25">
      <c r="B21" s="103"/>
      <c r="C21" s="152" t="s">
        <v>1</v>
      </c>
      <c r="D21" s="58">
        <f>IFERROR(ROUND(D20*D19,0),"")</f>
        <v>1268</v>
      </c>
      <c r="E21" s="58">
        <f>IFERROR(ROUND(E20*E19,0),"")</f>
        <v>2535</v>
      </c>
      <c r="F21" s="58">
        <f>IFERROR(ROUND(F20*F19,0),"")</f>
        <v>5070</v>
      </c>
      <c r="G21" s="58">
        <f>IFERROR(ROUND(G20*G19,0),"")</f>
        <v>7605</v>
      </c>
      <c r="H21" s="213"/>
      <c r="I21" s="155" t="str">
        <f>'Risiko für Deutschland'!I19</f>
        <v>Anzahl unbekannter aktiv-infektiöser Menschen (mit Infektionsgefahr, da nicht in Quarantäne)</v>
      </c>
      <c r="J21" s="104"/>
    </row>
    <row r="22" spans="2:10" x14ac:dyDescent="0.2">
      <c r="B22" s="103"/>
      <c r="C22" s="10"/>
      <c r="D22" s="1"/>
      <c r="E22" s="1"/>
      <c r="F22" s="1"/>
      <c r="G22" s="1"/>
      <c r="H22" s="1"/>
      <c r="I22" s="1"/>
      <c r="J22" s="104"/>
    </row>
    <row r="23" spans="2:10" ht="15.75" x14ac:dyDescent="0.25">
      <c r="B23" s="103"/>
      <c r="C23" s="129" t="s">
        <v>139</v>
      </c>
      <c r="D23" s="315" t="str">
        <f>'Risiko für Deutschland'!D21</f>
        <v xml:space="preserve">Größe des Siedlungsgebietes </v>
      </c>
      <c r="E23" s="315"/>
      <c r="F23" s="315"/>
      <c r="G23" s="315"/>
      <c r="H23" s="202"/>
      <c r="I23" s="133" t="str">
        <f>'Risiko für Deutschland'!I21</f>
        <v>Siedlungsgebiet in km², in der sich im Durchschnitt je 1 unbekannter infektiöser Mensch befindet</v>
      </c>
      <c r="J23" s="104"/>
    </row>
    <row r="24" spans="2:10" x14ac:dyDescent="0.2">
      <c r="B24" s="103"/>
      <c r="C24" s="148"/>
      <c r="D24" s="77">
        <f>IF(D21="","",'Dateneingabe (HIER BEFÜLLEN!)'!E26)</f>
        <v>5658</v>
      </c>
      <c r="E24" s="77">
        <f>D24</f>
        <v>5658</v>
      </c>
      <c r="F24" s="77">
        <f>E24</f>
        <v>5658</v>
      </c>
      <c r="G24" s="77">
        <f>D24</f>
        <v>5658</v>
      </c>
      <c r="H24" s="214"/>
      <c r="I24" s="153" t="str">
        <f>'Risiko für Deutschland'!I22</f>
        <v>km² Siedlungsflächen</v>
      </c>
      <c r="J24" s="104"/>
    </row>
    <row r="25" spans="2:10" x14ac:dyDescent="0.2">
      <c r="B25" s="103"/>
      <c r="C25" s="150" t="s">
        <v>0</v>
      </c>
      <c r="D25" s="4">
        <f>D21</f>
        <v>1268</v>
      </c>
      <c r="E25" s="4">
        <f>E21</f>
        <v>2535</v>
      </c>
      <c r="F25" s="4">
        <f>F21</f>
        <v>5070</v>
      </c>
      <c r="G25" s="4">
        <f>G21</f>
        <v>7605</v>
      </c>
      <c r="H25" s="215"/>
      <c r="I25" s="162" t="str">
        <f>'Risiko für Deutschland'!I23</f>
        <v>Anzahl unbekannter aktiv-infektiöser Menschen (mit Infektionsgefahr, da nicht in Quarantäne)</v>
      </c>
      <c r="J25" s="104"/>
    </row>
    <row r="26" spans="2:10" ht="15.75" x14ac:dyDescent="0.25">
      <c r="B26" s="103"/>
      <c r="C26" s="152" t="s">
        <v>1</v>
      </c>
      <c r="D26" s="11">
        <f>IFERROR(IF(D25=0,D24,D24/D25),"")</f>
        <v>4.4621451104100949</v>
      </c>
      <c r="E26" s="11">
        <f>IFERROR(IF(E25=0,E24,E24/E25),"")</f>
        <v>2.2319526627218935</v>
      </c>
      <c r="F26" s="11">
        <f>IFERROR(IF(F25=0,F24,F24/F25),"")</f>
        <v>1.1159763313609468</v>
      </c>
      <c r="G26" s="11">
        <f>IFERROR(IF(G25=0,G24,G24/G25),"")</f>
        <v>0.74398422090729788</v>
      </c>
      <c r="H26" s="216"/>
      <c r="I26" s="155" t="str">
        <f>'Risiko für Deutschland'!I24</f>
        <v>km² Siedlungsgebiet in dem sich durchschnittlich je 1 unbekannter infektiöser Mensch befindet</v>
      </c>
      <c r="J26" s="104"/>
    </row>
    <row r="27" spans="2:10" ht="15.75" x14ac:dyDescent="0.25">
      <c r="B27" s="103"/>
      <c r="C27" s="12"/>
      <c r="D27" s="172"/>
      <c r="E27" s="172"/>
      <c r="F27" s="172"/>
      <c r="G27" s="172"/>
      <c r="H27" s="172"/>
      <c r="I27" s="15"/>
      <c r="J27" s="104"/>
    </row>
    <row r="28" spans="2:10" ht="15.75" x14ac:dyDescent="0.25">
      <c r="B28" s="103"/>
      <c r="C28" s="128" t="s">
        <v>51</v>
      </c>
      <c r="D28" s="316" t="str">
        <f>'Risiko für Deutschland'!D26</f>
        <v xml:space="preserve">Größe der Einwohnergruppe </v>
      </c>
      <c r="E28" s="316"/>
      <c r="F28" s="316"/>
      <c r="G28" s="316"/>
      <c r="H28" s="197"/>
      <c r="I28" s="132" t="str">
        <f>'Risiko für Deutschland'!I26</f>
        <v>Einwohnergruppe in der sich durchschnittlich je 1 unbekannter infektiöser Mensch befindet</v>
      </c>
      <c r="J28" s="104"/>
    </row>
    <row r="29" spans="2:10" x14ac:dyDescent="0.2">
      <c r="B29" s="103"/>
      <c r="C29" s="148"/>
      <c r="D29" s="3">
        <f>IF(D21="","",'Dateneingabe (HIER BEFÜLLEN!)'!E27)</f>
        <v>17932651</v>
      </c>
      <c r="E29" s="3">
        <f>D29</f>
        <v>17932651</v>
      </c>
      <c r="F29" s="3">
        <f>E29</f>
        <v>17932651</v>
      </c>
      <c r="G29" s="3">
        <f>D29</f>
        <v>17932651</v>
      </c>
      <c r="H29" s="214"/>
      <c r="I29" s="153" t="str">
        <f>'Risiko für Deutschland'!I27</f>
        <v>Einwohnerzahl</v>
      </c>
      <c r="J29" s="104"/>
    </row>
    <row r="30" spans="2:10" x14ac:dyDescent="0.2">
      <c r="B30" s="103"/>
      <c r="C30" s="148" t="s">
        <v>0</v>
      </c>
      <c r="D30" s="173">
        <f>IFERROR(D21,"")</f>
        <v>1268</v>
      </c>
      <c r="E30" s="173">
        <f>IFERROR(E21,"")</f>
        <v>2535</v>
      </c>
      <c r="F30" s="173">
        <f>IFERROR(F21,"")</f>
        <v>5070</v>
      </c>
      <c r="G30" s="173">
        <f>IFERROR(G21,"")</f>
        <v>7605</v>
      </c>
      <c r="H30" s="217"/>
      <c r="I30" s="155" t="str">
        <f>'Risiko für Deutschland'!I28</f>
        <v>Anzahl unbekannter aktiv-infektiöser Menschen (mit Infektionsgefahr, da nicht in Quarantäne)</v>
      </c>
      <c r="J30" s="104"/>
    </row>
    <row r="31" spans="2:10" ht="15.75" x14ac:dyDescent="0.25">
      <c r="B31" s="103"/>
      <c r="C31" s="160" t="s">
        <v>1</v>
      </c>
      <c r="D31" s="58">
        <f>IFERROR(IF(D30=0,D29,ROUND(D29/D30,0)),"")</f>
        <v>14142</v>
      </c>
      <c r="E31" s="58">
        <f t="shared" ref="E31:G31" si="0">IFERROR(IF(E30=0,E29,ROUND(E29/E30,0)),"")</f>
        <v>7074</v>
      </c>
      <c r="F31" s="58">
        <f t="shared" ref="F31" si="1">IFERROR(IF(F30=0,F29,ROUND(F29/F30,0)),"")</f>
        <v>3537</v>
      </c>
      <c r="G31" s="58">
        <f t="shared" si="0"/>
        <v>2358</v>
      </c>
      <c r="H31" s="218"/>
      <c r="I31" s="161" t="str">
        <f>'Risiko für Deutschland'!I29</f>
        <v>Größe der Einwohnergruppe in der sich durchschnittlich je 1 unbekannter infektiöser Mensch befindet</v>
      </c>
      <c r="J31" s="104"/>
    </row>
    <row r="32" spans="2:10" ht="15" x14ac:dyDescent="0.2">
      <c r="B32" s="103"/>
      <c r="C32" s="152" t="s">
        <v>1</v>
      </c>
      <c r="D32" s="263">
        <f>IFERROR(1/D31,"")</f>
        <v>7.071135624381275E-5</v>
      </c>
      <c r="E32" s="263">
        <f t="shared" ref="E32:G32" si="2">IFERROR(1/E31,"")</f>
        <v>1.413627367825841E-4</v>
      </c>
      <c r="F32" s="263">
        <f t="shared" ref="F32" si="3">IFERROR(1/F31,"")</f>
        <v>2.827254735651682E-4</v>
      </c>
      <c r="G32" s="263">
        <f t="shared" si="2"/>
        <v>4.2408821034775233E-4</v>
      </c>
      <c r="H32" s="219"/>
      <c r="I32" s="155" t="str">
        <f>'Risiko für Deutschland'!I30</f>
        <v>Anteil der unbekannt infektiösen Menschen an der Einwohnergruppe</v>
      </c>
      <c r="J32" s="104"/>
    </row>
    <row r="33" spans="2:10" x14ac:dyDescent="0.2">
      <c r="B33" s="103"/>
      <c r="C33" s="12"/>
      <c r="D33" s="13"/>
      <c r="E33" s="13"/>
      <c r="F33" s="13"/>
      <c r="G33" s="13"/>
      <c r="H33" s="13"/>
      <c r="I33" s="2"/>
      <c r="J33" s="104"/>
    </row>
    <row r="34" spans="2:10" ht="15.75" x14ac:dyDescent="0.25">
      <c r="B34" s="103"/>
      <c r="C34" s="130" t="s">
        <v>111</v>
      </c>
      <c r="D34" s="317" t="str">
        <f>'Risiko für Deutschland'!D32</f>
        <v xml:space="preserve">Mein Infektionsrisiko für "Heute" </v>
      </c>
      <c r="E34" s="317"/>
      <c r="F34" s="317"/>
      <c r="G34" s="317"/>
      <c r="H34" s="204"/>
      <c r="I34" s="130" t="str">
        <f>'Risiko für Deutschland'!I32</f>
        <v>Wahrscheinlichkeit in Tagen (kalkulatorisch) und Prozent</v>
      </c>
      <c r="J34" s="104"/>
    </row>
    <row r="35" spans="2:10" x14ac:dyDescent="0.2">
      <c r="B35" s="103"/>
      <c r="C35" s="148"/>
      <c r="D35" s="16">
        <f>IFERROR(D31,"")</f>
        <v>14142</v>
      </c>
      <c r="E35" s="16">
        <f>IFERROR(E31,"")</f>
        <v>7074</v>
      </c>
      <c r="F35" s="16">
        <f>IFERROR(F31,"")</f>
        <v>3537</v>
      </c>
      <c r="G35" s="3">
        <f>IFERROR(G31,"")</f>
        <v>2358</v>
      </c>
      <c r="H35" s="214"/>
      <c r="I35" s="155" t="str">
        <f>'Risiko für Deutschland'!I33</f>
        <v>Größe der Einwohnergruppe in der sich durchschnittlich je 1 unbekannter infektiöser Mensch befindet</v>
      </c>
      <c r="J35" s="104"/>
    </row>
    <row r="36" spans="2:10" x14ac:dyDescent="0.2">
      <c r="B36" s="103"/>
      <c r="C36" s="150" t="s">
        <v>0</v>
      </c>
      <c r="D36" s="20">
        <f>IF(D35="","",'Dateneingabe (HIER BEFÜLLEN!)'!$E$9)</f>
        <v>15</v>
      </c>
      <c r="E36" s="4">
        <f>D36</f>
        <v>15</v>
      </c>
      <c r="F36" s="4">
        <f>E36</f>
        <v>15</v>
      </c>
      <c r="G36" s="4">
        <f>D36</f>
        <v>15</v>
      </c>
      <c r="H36" s="215"/>
      <c r="I36" s="154" t="str">
        <f>'Risiko für Deutschland'!I34</f>
        <v>geschätzte Anzahl der Nahkontakte (&lt;1,5 m), die ich "Heute" haben werde</v>
      </c>
      <c r="J36" s="104"/>
    </row>
    <row r="37" spans="2:10" ht="15.75" x14ac:dyDescent="0.25">
      <c r="B37" s="103"/>
      <c r="C37" s="152" t="s">
        <v>1</v>
      </c>
      <c r="D37" s="168">
        <f>IFERROR(ROUND(D35/D36,4),"")</f>
        <v>942.8</v>
      </c>
      <c r="E37" s="168">
        <f>IFERROR(ROUND(E35/E36,4),"")</f>
        <v>471.6</v>
      </c>
      <c r="F37" s="168">
        <f>IFERROR(ROUND(F35/F36,4),"")</f>
        <v>235.8</v>
      </c>
      <c r="G37" s="59">
        <f t="shared" ref="G37" si="4">IFERROR(ROUND(G35/G36,4),"")</f>
        <v>157.19999999999999</v>
      </c>
      <c r="H37" s="216"/>
      <c r="I37" s="163" t="str">
        <f>'Risiko für Deutschland'!I35</f>
        <v>Anzahl von Tagen, die ich durchschnittlich benötigen würde, um mit 1 unbekannten infektiösen Menschen in Nahkontakt (&lt;1,5 m) zu kommen</v>
      </c>
      <c r="J37" s="104"/>
    </row>
    <row r="38" spans="2:10" ht="15" x14ac:dyDescent="0.2">
      <c r="B38" s="103"/>
      <c r="C38" s="152" t="s">
        <v>1</v>
      </c>
      <c r="D38" s="264">
        <f>IFERROR(1/D37,"")</f>
        <v>1.0606703436571913E-3</v>
      </c>
      <c r="E38" s="264">
        <f>IFERROR(1/E37,"")</f>
        <v>2.1204410517387615E-3</v>
      </c>
      <c r="F38" s="264">
        <f>IFERROR(1/F37,"")</f>
        <v>4.2408821034775231E-3</v>
      </c>
      <c r="G38" s="264">
        <f t="shared" ref="G38" si="5">IFERROR(1/G37,"")</f>
        <v>6.3613231552162855E-3</v>
      </c>
      <c r="H38" s="219"/>
      <c r="I38" s="163" t="str">
        <f>'Risiko für Deutschland'!I36</f>
        <v>Mein Infektionsrisiko für "Heute" (= meine Anzahl von Nahkontakten "Heute" : Größe der Einwohnergruppe) [siehe auch Covid19+Lotto]</v>
      </c>
      <c r="J38" s="104"/>
    </row>
    <row r="39" spans="2:10" ht="15.75" x14ac:dyDescent="0.25">
      <c r="B39" s="103"/>
      <c r="C39" s="12"/>
      <c r="D39" s="14"/>
      <c r="E39" s="14"/>
      <c r="F39" s="14"/>
      <c r="G39" s="14"/>
      <c r="H39" s="14"/>
      <c r="I39" s="8"/>
      <c r="J39" s="104"/>
    </row>
    <row r="40" spans="2:10" ht="15.75" x14ac:dyDescent="0.25">
      <c r="B40" s="103"/>
      <c r="C40" s="130" t="s">
        <v>112</v>
      </c>
      <c r="D40" s="318" t="str">
        <f>'Risiko für Deutschland'!D38</f>
        <v>Mein Sterberisiko für "Heute"</v>
      </c>
      <c r="E40" s="318"/>
      <c r="F40" s="318"/>
      <c r="G40" s="318"/>
      <c r="H40" s="205"/>
      <c r="I40" s="134" t="str">
        <f>'Risiko für Deutschland'!I38</f>
        <v>Wahrscheinlichkeit in Jahren (kalkulatorisch) und Prozent</v>
      </c>
      <c r="J40" s="104"/>
    </row>
    <row r="41" spans="2:10" x14ac:dyDescent="0.2">
      <c r="B41" s="103"/>
      <c r="C41" s="164"/>
      <c r="D41" s="169">
        <f>IFERROR(D37,"")</f>
        <v>942.8</v>
      </c>
      <c r="E41" s="169">
        <f>IFERROR(E37,"")</f>
        <v>471.6</v>
      </c>
      <c r="F41" s="169">
        <f>IFERROR(F37,"")</f>
        <v>235.8</v>
      </c>
      <c r="G41" s="170">
        <f>IFERROR(G37,"")</f>
        <v>157.19999999999999</v>
      </c>
      <c r="H41" s="217"/>
      <c r="I41" s="153" t="str">
        <f>'Risiko für Deutschland'!I39</f>
        <v>Anzahl von Tagen, die ich durchschnittlich benötigen würde, um mit 1 unbekannten infektiösen Menschen in Nahkontakt (&lt;1,5 m) zu kommen</v>
      </c>
      <c r="J41" s="104"/>
    </row>
    <row r="42" spans="2:10" x14ac:dyDescent="0.2">
      <c r="B42" s="103"/>
      <c r="C42" s="165" t="s">
        <v>0</v>
      </c>
      <c r="D42" s="17">
        <f>IF(D41="","",'Dateneingabe (HIER BEFÜLLEN!)'!F30)</f>
        <v>3.61E-2</v>
      </c>
      <c r="E42" s="17">
        <f>D42</f>
        <v>3.61E-2</v>
      </c>
      <c r="F42" s="17">
        <f>E42</f>
        <v>3.61E-2</v>
      </c>
      <c r="G42" s="5">
        <f>D42</f>
        <v>3.61E-2</v>
      </c>
      <c r="H42" s="119"/>
      <c r="I42" s="153" t="str">
        <f>'Risiko für Deutschland'!I40</f>
        <v>Anteil Todesfälle</v>
      </c>
      <c r="J42" s="104"/>
    </row>
    <row r="43" spans="2:10" x14ac:dyDescent="0.2">
      <c r="B43" s="103"/>
      <c r="C43" s="164" t="s">
        <v>1</v>
      </c>
      <c r="D43" s="170">
        <f>IFERROR(ROUND(D41/D42,2),"")</f>
        <v>26116.34</v>
      </c>
      <c r="E43" s="170">
        <f t="shared" ref="E43:G43" si="6">IFERROR(ROUND(E41/E42,2),"")</f>
        <v>13063.71</v>
      </c>
      <c r="F43" s="170">
        <f t="shared" ref="F43" si="7">IFERROR(ROUND(F41/F42,2),"")</f>
        <v>6531.86</v>
      </c>
      <c r="G43" s="170">
        <f t="shared" si="6"/>
        <v>4354.57</v>
      </c>
      <c r="H43" s="220"/>
      <c r="I43" s="224" t="str">
        <f>'Risiko für Deutschland'!I41</f>
        <v>Anzahl der Tage bis die Anzahl der unbekannten infektiösen Kontakte so groß wäre, dass rechnerisch mein Todesfall zu erwarten ist</v>
      </c>
      <c r="J43" s="104"/>
    </row>
    <row r="44" spans="2:10" x14ac:dyDescent="0.2">
      <c r="B44" s="103"/>
      <c r="C44" s="167" t="s">
        <v>0</v>
      </c>
      <c r="D44" s="6">
        <f>IF(D43="","",365.25)</f>
        <v>365.25</v>
      </c>
      <c r="E44" s="6">
        <f t="shared" ref="E44:G44" si="8">IF(E43="","",365.25)</f>
        <v>365.25</v>
      </c>
      <c r="F44" s="6">
        <f t="shared" ref="F44" si="9">IF(F43="","",365.25)</f>
        <v>365.25</v>
      </c>
      <c r="G44" s="6">
        <f t="shared" si="8"/>
        <v>365.25</v>
      </c>
      <c r="H44" s="221"/>
      <c r="I44" s="154" t="str">
        <f>'Risiko für Deutschland'!I42</f>
        <v>Anzahl Tage pro Jahr</v>
      </c>
      <c r="J44" s="104"/>
    </row>
    <row r="45" spans="2:10" ht="15.75" x14ac:dyDescent="0.25">
      <c r="B45" s="103"/>
      <c r="C45" s="166" t="s">
        <v>1</v>
      </c>
      <c r="D45" s="59">
        <f>IFERROR(ROUND(D43/D44,2),"")</f>
        <v>71.5</v>
      </c>
      <c r="E45" s="59">
        <f t="shared" ref="E45:G45" si="10">IFERROR(ROUND(E43/E44,2),"")</f>
        <v>35.770000000000003</v>
      </c>
      <c r="F45" s="59">
        <f t="shared" ref="F45" si="11">IFERROR(ROUND(F43/F44,2),"")</f>
        <v>17.88</v>
      </c>
      <c r="G45" s="59">
        <f t="shared" si="10"/>
        <v>11.92</v>
      </c>
      <c r="H45" s="216"/>
      <c r="I45" s="153" t="str">
        <f>'Risiko für Deutschland'!I43</f>
        <v>Anzahl der Jahre bis die Anzahl der unbekannten infektiösen Kontakte so groß wäre, dass rechnerisch mein Todesfall zu erwarten ist</v>
      </c>
      <c r="J45" s="104"/>
    </row>
    <row r="46" spans="2:10" ht="15" x14ac:dyDescent="0.2">
      <c r="B46" s="103"/>
      <c r="C46" s="166" t="s">
        <v>1</v>
      </c>
      <c r="D46" s="264">
        <f>IFERROR(1/D43,"")</f>
        <v>3.8290204523298438E-5</v>
      </c>
      <c r="E46" s="264">
        <f t="shared" ref="E46:G46" si="12">IFERROR(1/E43,"")</f>
        <v>7.6547933167530509E-5</v>
      </c>
      <c r="F46" s="264">
        <f t="shared" ref="F46" si="13">IFERROR(1/F43,"")</f>
        <v>1.5309574914342929E-4</v>
      </c>
      <c r="G46" s="264">
        <f t="shared" si="12"/>
        <v>2.2964379950259154E-4</v>
      </c>
      <c r="H46" s="219"/>
      <c r="I46" s="153" t="str">
        <f>'Risiko für Deutschland'!I44</f>
        <v>Mein Sterberisiko für "Heute" (= Mein Infektionsrisiko für "Heute" x Anteil Todesfälle) [siehe auch Covid19+Lotto]</v>
      </c>
      <c r="J46" s="104"/>
    </row>
    <row r="47" spans="2:10" x14ac:dyDescent="0.2">
      <c r="B47" s="105"/>
      <c r="C47" s="110"/>
      <c r="D47" s="111"/>
      <c r="E47" s="111"/>
      <c r="F47" s="111"/>
      <c r="G47" s="111"/>
      <c r="H47" s="111"/>
      <c r="I47" s="112" t="s">
        <v>103</v>
      </c>
      <c r="J47" s="109"/>
    </row>
    <row r="49" spans="4:4" x14ac:dyDescent="0.2">
      <c r="D49" s="171"/>
    </row>
  </sheetData>
  <sheetProtection algorithmName="SHA-512" hashValue="Nlp1Vaq17gbm9KR5Yoa+g9L98iChZFu+qCvEymeV29beIsp1kZKhbh/8JIpl8R4N+VTsIJ3QBhdTZ7e4pkzhuQ==" saltValue="71QTDBSmHArQs9jsm3V6jQ==" spinCount="100000" sheet="1" objects="1" scenarios="1"/>
  <mergeCells count="10">
    <mergeCell ref="D23:G23"/>
    <mergeCell ref="D28:G28"/>
    <mergeCell ref="D34:G34"/>
    <mergeCell ref="D40:G40"/>
    <mergeCell ref="C3:I3"/>
    <mergeCell ref="C4:I4"/>
    <mergeCell ref="D18:G18"/>
    <mergeCell ref="C6:E6"/>
    <mergeCell ref="D11:G11"/>
    <mergeCell ref="D17:G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1" orientation="portrait" horizontalDpi="1200" verticalDpi="1200" r:id="rId1"/>
  <headerFooter>
    <oddHeader>&amp;CSchätzung meines persönlichen Covid-19 Infektions- und Sterberisikos
&amp;"Arial,Fett"&amp;12Risikoanalyse - Lightversion</oddHeader>
    <oddFooter>&amp;CSeite &amp;P von &amp;N</oddFooter>
  </headerFooter>
  <ignoredErrors>
    <ignoredError sqref="I24:I26 F8 I12:I15 I19:I20 I29:I32 I35:I38 I41:I46 I21" unlockedFormula="1"/>
    <ignoredError sqref="F44:G44 D44:E4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  <pageSetUpPr fitToPage="1"/>
  </sheetPr>
  <dimension ref="B1:J51"/>
  <sheetViews>
    <sheetView showGridLines="0" topLeftCell="B4" zoomScaleNormal="100" workbookViewId="0">
      <selection activeCell="F9" sqref="F9"/>
    </sheetView>
  </sheetViews>
  <sheetFormatPr baseColWidth="10" defaultColWidth="11.42578125" defaultRowHeight="12.75" x14ac:dyDescent="0.2"/>
  <cols>
    <col min="1" max="2" width="1.7109375" style="117" customWidth="1"/>
    <col min="3" max="3" width="4.85546875" style="117" customWidth="1"/>
    <col min="4" max="7" width="12.5703125" style="117" customWidth="1"/>
    <col min="8" max="8" width="1.5703125" style="117" customWidth="1"/>
    <col min="9" max="9" width="119.28515625" style="117" customWidth="1"/>
    <col min="10" max="11" width="1.7109375" style="117" customWidth="1"/>
    <col min="12" max="16384" width="11.42578125" style="117"/>
  </cols>
  <sheetData>
    <row r="1" spans="2:10" x14ac:dyDescent="0.2">
      <c r="B1" s="30"/>
      <c r="C1" s="30"/>
      <c r="D1" s="30"/>
      <c r="E1" s="30"/>
      <c r="F1" s="30"/>
      <c r="G1" s="30"/>
      <c r="H1" s="30"/>
      <c r="I1" s="30"/>
      <c r="J1" s="235"/>
    </row>
    <row r="2" spans="2:10" ht="20.25" x14ac:dyDescent="0.3">
      <c r="B2" s="103"/>
      <c r="C2" s="319" t="str">
        <f>'Dateneingabe (HIER BEFÜLLEN!)'!C3</f>
        <v>Schätzung meines persönlichen Covid-19 Infektions- und Sterberisikos (für "Heute") - extended Version</v>
      </c>
      <c r="D2" s="319"/>
      <c r="E2" s="319"/>
      <c r="F2" s="319"/>
      <c r="G2" s="319"/>
      <c r="H2" s="319"/>
      <c r="I2" s="319"/>
      <c r="J2" s="104"/>
    </row>
    <row r="3" spans="2:10" ht="20.25" x14ac:dyDescent="0.3">
      <c r="B3" s="103"/>
      <c r="C3" s="320" t="s">
        <v>119</v>
      </c>
      <c r="D3" s="319"/>
      <c r="E3" s="319"/>
      <c r="F3" s="319"/>
      <c r="G3" s="319"/>
      <c r="H3" s="319"/>
      <c r="I3" s="319"/>
      <c r="J3" s="104"/>
    </row>
    <row r="4" spans="2:10" x14ac:dyDescent="0.2">
      <c r="B4" s="103"/>
      <c r="C4" s="10"/>
      <c r="D4" s="8"/>
      <c r="E4" s="8"/>
      <c r="F4" s="8"/>
      <c r="G4" s="8"/>
      <c r="H4" s="8"/>
      <c r="I4" s="8"/>
      <c r="J4" s="104"/>
    </row>
    <row r="5" spans="2:10" s="140" customFormat="1" ht="15.75" customHeight="1" x14ac:dyDescent="0.25">
      <c r="B5" s="136"/>
      <c r="C5" s="323" t="s">
        <v>78</v>
      </c>
      <c r="D5" s="323"/>
      <c r="E5" s="323"/>
      <c r="F5" s="137"/>
      <c r="G5" s="138"/>
      <c r="H5" s="138"/>
      <c r="I5" s="137" t="str">
        <f>'Risiko für Deutschland'!I4</f>
        <v>räumliches Gebiet</v>
      </c>
      <c r="J5" s="139"/>
    </row>
    <row r="6" spans="2:10" x14ac:dyDescent="0.2">
      <c r="B6" s="103"/>
      <c r="C6" s="146"/>
      <c r="D6" s="147"/>
      <c r="E6" s="147"/>
      <c r="F6" s="94">
        <f>'Dateneingabe (HIER BEFÜLLEN!)'!E8</f>
        <v>44041</v>
      </c>
      <c r="G6" s="95" t="s">
        <v>86</v>
      </c>
      <c r="H6" s="206"/>
      <c r="I6" s="147"/>
      <c r="J6" s="104"/>
    </row>
    <row r="7" spans="2:10" x14ac:dyDescent="0.2">
      <c r="B7" s="103"/>
      <c r="C7" s="146"/>
      <c r="D7" s="147"/>
      <c r="E7" s="147"/>
      <c r="F7" s="96" t="str">
        <f>IF('Dateneingabe (HIER BEFÜLLEN!)'!E37="","",'Dateneingabe (HIER BEFÜLLEN!)'!E37)</f>
        <v>Münster</v>
      </c>
      <c r="G7" s="97" t="s">
        <v>154</v>
      </c>
      <c r="H7" s="206"/>
      <c r="I7" s="147"/>
      <c r="J7" s="104"/>
    </row>
    <row r="8" spans="2:10" x14ac:dyDescent="0.2">
      <c r="B8" s="103"/>
      <c r="C8" s="146"/>
      <c r="D8" s="147"/>
      <c r="E8" s="147"/>
      <c r="F8" s="115" t="str">
        <f>'Dateneingabe (HIER BEFÜLLEN!)'!E25</f>
        <v>NRW</v>
      </c>
      <c r="G8" s="97" t="s">
        <v>28</v>
      </c>
      <c r="H8" s="206"/>
      <c r="I8" s="147"/>
      <c r="J8" s="104"/>
    </row>
    <row r="9" spans="2:10" x14ac:dyDescent="0.2">
      <c r="B9" s="103"/>
      <c r="C9" s="146"/>
      <c r="D9" s="147"/>
      <c r="E9" s="147"/>
      <c r="F9" s="116">
        <f>'Dateneingabe (HIER BEFÜLLEN!)'!E9</f>
        <v>15</v>
      </c>
      <c r="G9" s="98" t="s">
        <v>102</v>
      </c>
      <c r="H9" s="206"/>
      <c r="I9" s="147"/>
      <c r="J9" s="104"/>
    </row>
    <row r="10" spans="2:10" x14ac:dyDescent="0.2">
      <c r="B10" s="103"/>
      <c r="C10" s="10"/>
      <c r="D10" s="8"/>
      <c r="E10" s="8"/>
      <c r="F10" s="8"/>
      <c r="G10" s="8"/>
      <c r="H10" s="8"/>
      <c r="I10" s="8"/>
      <c r="J10" s="104"/>
    </row>
    <row r="11" spans="2:10" ht="15.75" x14ac:dyDescent="0.25">
      <c r="B11" s="103"/>
      <c r="C11" s="72" t="s">
        <v>106</v>
      </c>
      <c r="D11" s="324" t="s">
        <v>105</v>
      </c>
      <c r="E11" s="324"/>
      <c r="F11" s="324"/>
      <c r="G11" s="324"/>
      <c r="H11" s="201"/>
      <c r="I11" s="131" t="str">
        <f>'Risiko für Deutschland'!I9</f>
        <v>im räumlichen Gebiet in Quarantäne, d.h. ohne Infektionsgefahr für mich</v>
      </c>
      <c r="J11" s="104"/>
    </row>
    <row r="12" spans="2:10" x14ac:dyDescent="0.2">
      <c r="B12" s="103"/>
      <c r="C12" s="148"/>
      <c r="D12" s="145"/>
      <c r="E12" s="145"/>
      <c r="F12" s="22">
        <f>IF('Dateneingabe (HIER BEFÜLLEN!)'!E43="","",'Dateneingabe (HIER BEFÜLLEN!)'!E43)</f>
        <v>754</v>
      </c>
      <c r="G12" s="226">
        <f>IF(F12="","",100%)</f>
        <v>1</v>
      </c>
      <c r="H12" s="207"/>
      <c r="I12" s="153" t="str">
        <f>'Risiko für Deutschland'!I10</f>
        <v>Fälle total</v>
      </c>
      <c r="J12" s="104"/>
    </row>
    <row r="13" spans="2:10" x14ac:dyDescent="0.2">
      <c r="B13" s="103"/>
      <c r="C13" s="148" t="s">
        <v>2</v>
      </c>
      <c r="D13" s="149"/>
      <c r="E13" s="149"/>
      <c r="F13" s="19">
        <f>IF('Dateneingabe (HIER BEFÜLLEN!)'!E44="","",'Dateneingabe (HIER BEFÜLLEN!)'!E44)</f>
        <v>13</v>
      </c>
      <c r="G13" s="227">
        <f>IFERROR(F13/F12,"")</f>
        <v>1.7241379310344827E-2</v>
      </c>
      <c r="H13" s="208"/>
      <c r="I13" s="153" t="str">
        <f>'Risiko für Deutschland'!I11</f>
        <v>Todesfälle</v>
      </c>
      <c r="J13" s="104"/>
    </row>
    <row r="14" spans="2:10" x14ac:dyDescent="0.2">
      <c r="B14" s="103"/>
      <c r="C14" s="150" t="s">
        <v>2</v>
      </c>
      <c r="D14" s="151"/>
      <c r="E14" s="151"/>
      <c r="F14" s="23">
        <f>IF('Dateneingabe (HIER BEFÜLLEN!)'!E45="","",'Dateneingabe (HIER BEFÜLLEN!)'!E45)</f>
        <v>687</v>
      </c>
      <c r="G14" s="228">
        <f>IFERROR(F14/F12,"")</f>
        <v>0.91114058355437666</v>
      </c>
      <c r="H14" s="209"/>
      <c r="I14" s="154" t="str">
        <f>'Risiko für Deutschland'!I12</f>
        <v>Genesene</v>
      </c>
      <c r="J14" s="104"/>
    </row>
    <row r="15" spans="2:10" ht="15.75" x14ac:dyDescent="0.25">
      <c r="B15" s="103"/>
      <c r="C15" s="152" t="s">
        <v>1</v>
      </c>
      <c r="D15" s="145"/>
      <c r="E15" s="145"/>
      <c r="F15" s="24">
        <f>IFERROR(F12-F13-F14,"")</f>
        <v>54</v>
      </c>
      <c r="G15" s="76">
        <f>IFERROR(F15/F12,"")</f>
        <v>7.161803713527852E-2</v>
      </c>
      <c r="H15" s="210"/>
      <c r="I15" s="155" t="str">
        <f>'Risiko für Deutschland'!I13</f>
        <v>Anzahl bekannter aktiv-infektiöser Menschen (ohne Infektionsgefahr, da in Quarantäne)</v>
      </c>
      <c r="J15" s="104"/>
    </row>
    <row r="16" spans="2:10" ht="15.75" x14ac:dyDescent="0.25">
      <c r="B16" s="103"/>
      <c r="C16" s="12"/>
      <c r="D16" s="21"/>
      <c r="E16" s="21"/>
      <c r="F16" s="47"/>
      <c r="G16" s="48"/>
      <c r="H16" s="48"/>
      <c r="I16" s="15"/>
      <c r="J16" s="104"/>
    </row>
    <row r="17" spans="2:10" ht="15.75" x14ac:dyDescent="0.25">
      <c r="B17" s="103"/>
      <c r="C17" s="72" t="s">
        <v>107</v>
      </c>
      <c r="D17" s="327" t="str">
        <f>'Risiko für Deutschland'!D15</f>
        <v>Anzahl unbekannter infektiöser Menschen</v>
      </c>
      <c r="E17" s="327"/>
      <c r="F17" s="327"/>
      <c r="G17" s="328"/>
      <c r="H17" s="201"/>
      <c r="I17" s="131" t="str">
        <f>'Risiko für Deutschland'!I15</f>
        <v>im räumlichen Gebiet nicht in Quarantäne, d.h. mit Infektionsgefahr für mich</v>
      </c>
      <c r="J17" s="104"/>
    </row>
    <row r="18" spans="2:10" x14ac:dyDescent="0.2">
      <c r="B18" s="103"/>
      <c r="C18" s="156"/>
      <c r="D18" s="325" t="str">
        <f>'Risiko für Deutschland'!D16</f>
        <v>frei geschätzte Spanne des R-Werts für "Morgen"</v>
      </c>
      <c r="E18" s="325"/>
      <c r="F18" s="325"/>
      <c r="G18" s="325"/>
      <c r="H18" s="156"/>
      <c r="I18" s="157" t="str">
        <f>'Risiko für Deutschland'!I16</f>
        <v>Szenarien für den Reproduktionsfaktor (bis zur Veröffentlichung der nächsten RKI-Daten, d.h. "Morgen")</v>
      </c>
      <c r="J18" s="104"/>
    </row>
    <row r="19" spans="2:10" x14ac:dyDescent="0.2">
      <c r="B19" s="103"/>
      <c r="C19" s="231"/>
      <c r="D19" s="232">
        <f>IF(D20="","",'Risiko für Deutschland'!D17)</f>
        <v>0.5</v>
      </c>
      <c r="E19" s="229">
        <f>IF(E20="","",'Risiko für Deutschland'!E17)</f>
        <v>1</v>
      </c>
      <c r="F19" s="229">
        <f>IF(F20="","",'Risiko für Deutschland'!F17)</f>
        <v>2</v>
      </c>
      <c r="G19" s="229">
        <f>IF(G20="","",'Risiko für Deutschland'!G17)</f>
        <v>3</v>
      </c>
      <c r="H19" s="212"/>
      <c r="I19" s="159" t="str">
        <f>'Risiko für Deutschland'!I17</f>
        <v>Reproduktionswert (Anzahl von Menschen, die ein Infizierter neu infiziert)</v>
      </c>
      <c r="J19" s="104"/>
    </row>
    <row r="20" spans="2:10" x14ac:dyDescent="0.2">
      <c r="B20" s="103"/>
      <c r="C20" s="152"/>
      <c r="D20" s="19">
        <f>F15</f>
        <v>54</v>
      </c>
      <c r="E20" s="19">
        <f>D20</f>
        <v>54</v>
      </c>
      <c r="F20" s="19">
        <f>D20</f>
        <v>54</v>
      </c>
      <c r="G20" s="19">
        <f>D20</f>
        <v>54</v>
      </c>
      <c r="H20" s="211"/>
      <c r="I20" s="158" t="str">
        <f>'Risiko für Deutschland'!I18</f>
        <v>Anzahl bekannter aktiv-infektiöser Menschen (ohne Infektionsgefahr, da in Quarantäne)</v>
      </c>
      <c r="J20" s="104"/>
    </row>
    <row r="21" spans="2:10" ht="15.75" x14ac:dyDescent="0.25">
      <c r="B21" s="103"/>
      <c r="C21" s="152" t="s">
        <v>1</v>
      </c>
      <c r="D21" s="58">
        <f>IFERROR(ROUND(D20*D19,0),"")</f>
        <v>27</v>
      </c>
      <c r="E21" s="58">
        <f>IFERROR(ROUND(E20*E19,0),"")</f>
        <v>54</v>
      </c>
      <c r="F21" s="58">
        <f>IFERROR(ROUND(F20*F19,0),"")</f>
        <v>108</v>
      </c>
      <c r="G21" s="58">
        <f>IFERROR(ROUND(G20*G19,0),"")</f>
        <v>162</v>
      </c>
      <c r="H21" s="213"/>
      <c r="I21" s="155" t="str">
        <f>'Risiko für Deutschland'!I19</f>
        <v>Anzahl unbekannter aktiv-infektiöser Menschen (mit Infektionsgefahr, da nicht in Quarantäne)</v>
      </c>
      <c r="J21" s="104"/>
    </row>
    <row r="22" spans="2:10" x14ac:dyDescent="0.2">
      <c r="B22" s="103"/>
      <c r="C22" s="10"/>
      <c r="D22" s="1"/>
      <c r="E22" s="1"/>
      <c r="F22" s="1"/>
      <c r="G22" s="1"/>
      <c r="H22" s="1"/>
      <c r="I22" s="1"/>
      <c r="J22" s="104"/>
    </row>
    <row r="23" spans="2:10" ht="15.75" x14ac:dyDescent="0.25">
      <c r="B23" s="103"/>
      <c r="C23" s="129" t="s">
        <v>139</v>
      </c>
      <c r="D23" s="315" t="str">
        <f>'Risiko für Deutschland'!D21</f>
        <v xml:space="preserve">Größe des Siedlungsgebietes </v>
      </c>
      <c r="E23" s="315"/>
      <c r="F23" s="315"/>
      <c r="G23" s="315"/>
      <c r="H23" s="202"/>
      <c r="I23" s="133" t="str">
        <f>'Risiko für Deutschland'!I21</f>
        <v>Siedlungsgebiet in km², in der sich im Durchschnitt je 1 unbekannter infektiöser Mensch befindet</v>
      </c>
      <c r="J23" s="104"/>
    </row>
    <row r="24" spans="2:10" x14ac:dyDescent="0.2">
      <c r="B24" s="103"/>
      <c r="C24" s="148"/>
      <c r="D24" s="3">
        <f>IF(D21="","",'Dateneingabe (HIER BEFÜLLEN!)'!E39)</f>
        <v>303</v>
      </c>
      <c r="E24" s="3">
        <f>D24</f>
        <v>303</v>
      </c>
      <c r="F24" s="3">
        <f>D24</f>
        <v>303</v>
      </c>
      <c r="G24" s="3">
        <f>D24</f>
        <v>303</v>
      </c>
      <c r="H24" s="214"/>
      <c r="I24" s="153" t="s">
        <v>153</v>
      </c>
      <c r="J24" s="104"/>
    </row>
    <row r="25" spans="2:10" x14ac:dyDescent="0.2">
      <c r="B25" s="103"/>
      <c r="C25" s="150" t="s">
        <v>3</v>
      </c>
      <c r="D25" s="5">
        <f>IF(D24="","",'Dateneingabe (HIER BEFÜLLEN!)'!E40/100)</f>
        <v>0.25</v>
      </c>
      <c r="E25" s="5">
        <f>D25</f>
        <v>0.25</v>
      </c>
      <c r="F25" s="5">
        <f>D25</f>
        <v>0.25</v>
      </c>
      <c r="G25" s="5">
        <f>D25</f>
        <v>0.25</v>
      </c>
      <c r="H25" s="119"/>
      <c r="I25" s="162" t="s">
        <v>152</v>
      </c>
      <c r="J25" s="104"/>
    </row>
    <row r="26" spans="2:10" x14ac:dyDescent="0.2">
      <c r="B26" s="103"/>
      <c r="C26" s="148" t="s">
        <v>1</v>
      </c>
      <c r="D26" s="77">
        <f>IFERROR(ROUND(D24*D25,0),"")</f>
        <v>76</v>
      </c>
      <c r="E26" s="77">
        <f t="shared" ref="E26:G26" si="0">IFERROR(ROUND(E24*E25,0),"")</f>
        <v>76</v>
      </c>
      <c r="F26" s="77">
        <f t="shared" si="0"/>
        <v>76</v>
      </c>
      <c r="G26" s="77">
        <f t="shared" si="0"/>
        <v>76</v>
      </c>
      <c r="H26" s="214"/>
      <c r="I26" s="155" t="s">
        <v>68</v>
      </c>
      <c r="J26" s="104"/>
    </row>
    <row r="27" spans="2:10" x14ac:dyDescent="0.2">
      <c r="B27" s="103"/>
      <c r="C27" s="150" t="s">
        <v>0</v>
      </c>
      <c r="D27" s="4">
        <f>D21</f>
        <v>27</v>
      </c>
      <c r="E27" s="4">
        <f>E21</f>
        <v>54</v>
      </c>
      <c r="F27" s="4">
        <f>F21</f>
        <v>108</v>
      </c>
      <c r="G27" s="4">
        <f>G21</f>
        <v>162</v>
      </c>
      <c r="H27" s="215"/>
      <c r="I27" s="162" t="str">
        <f>I21</f>
        <v>Anzahl unbekannter aktiv-infektiöser Menschen (mit Infektionsgefahr, da nicht in Quarantäne)</v>
      </c>
      <c r="J27" s="104"/>
    </row>
    <row r="28" spans="2:10" ht="15.75" x14ac:dyDescent="0.25">
      <c r="B28" s="103"/>
      <c r="C28" s="152" t="s">
        <v>1</v>
      </c>
      <c r="D28" s="11">
        <f>IFERROR(IF(D27=0,D26,D26/D27),"")</f>
        <v>2.8148148148148149</v>
      </c>
      <c r="E28" s="11">
        <f>IFERROR(IF(E27=0,E26,E26/E27),"")</f>
        <v>1.4074074074074074</v>
      </c>
      <c r="F28" s="11">
        <f>IFERROR(IF(F27=0,F26,F26/F27),"")</f>
        <v>0.70370370370370372</v>
      </c>
      <c r="G28" s="11">
        <f>IFERROR(IF(G27=0,G26,G26/G27),"")</f>
        <v>0.46913580246913578</v>
      </c>
      <c r="H28" s="216"/>
      <c r="I28" s="155" t="str">
        <f>'Risiko für Deutschland'!I24</f>
        <v>km² Siedlungsgebiet in dem sich durchschnittlich je 1 unbekannter infektiöser Mensch befindet</v>
      </c>
      <c r="J28" s="104"/>
    </row>
    <row r="29" spans="2:10" ht="15.75" x14ac:dyDescent="0.25">
      <c r="B29" s="103"/>
      <c r="C29" s="12"/>
      <c r="D29" s="172"/>
      <c r="E29" s="172"/>
      <c r="F29" s="172"/>
      <c r="G29" s="172"/>
      <c r="H29" s="172"/>
      <c r="I29" s="15"/>
      <c r="J29" s="104"/>
    </row>
    <row r="30" spans="2:10" ht="15.75" x14ac:dyDescent="0.25">
      <c r="B30" s="103"/>
      <c r="C30" s="128" t="s">
        <v>51</v>
      </c>
      <c r="D30" s="316" t="str">
        <f>'Risiko für Deutschland'!D26</f>
        <v xml:space="preserve">Größe der Einwohnergruppe </v>
      </c>
      <c r="E30" s="316"/>
      <c r="F30" s="316"/>
      <c r="G30" s="316"/>
      <c r="H30" s="203"/>
      <c r="I30" s="132" t="str">
        <f>'Risiko für Deutschland'!I26</f>
        <v>Einwohnergruppe in der sich durchschnittlich je 1 unbekannter infektiöser Mensch befindet</v>
      </c>
      <c r="J30" s="104"/>
    </row>
    <row r="31" spans="2:10" x14ac:dyDescent="0.2">
      <c r="B31" s="103"/>
      <c r="C31" s="148"/>
      <c r="D31" s="3">
        <f>IF(D21="","",'Dateneingabe (HIER BEFÜLLEN!)'!E41)</f>
        <v>315293</v>
      </c>
      <c r="E31" s="3">
        <f>D31</f>
        <v>315293</v>
      </c>
      <c r="F31" s="3">
        <f>D31</f>
        <v>315293</v>
      </c>
      <c r="G31" s="3">
        <f>D31</f>
        <v>315293</v>
      </c>
      <c r="H31" s="214"/>
      <c r="I31" s="153" t="str">
        <f>'Risiko für Deutschland'!I27</f>
        <v>Einwohnerzahl</v>
      </c>
      <c r="J31" s="104"/>
    </row>
    <row r="32" spans="2:10" x14ac:dyDescent="0.2">
      <c r="B32" s="103"/>
      <c r="C32" s="148" t="s">
        <v>0</v>
      </c>
      <c r="D32" s="173">
        <f>IFERROR(D21,"")</f>
        <v>27</v>
      </c>
      <c r="E32" s="173">
        <f>IFERROR(E21,"")</f>
        <v>54</v>
      </c>
      <c r="F32" s="173">
        <f>IFERROR(F21,"")</f>
        <v>108</v>
      </c>
      <c r="G32" s="173">
        <f>IFERROR(G21,"")</f>
        <v>162</v>
      </c>
      <c r="H32" s="217"/>
      <c r="I32" s="155" t="str">
        <f>'Risiko für Deutschland'!I28</f>
        <v>Anzahl unbekannter aktiv-infektiöser Menschen (mit Infektionsgefahr, da nicht in Quarantäne)</v>
      </c>
      <c r="J32" s="104"/>
    </row>
    <row r="33" spans="2:10" ht="15.75" x14ac:dyDescent="0.25">
      <c r="B33" s="103"/>
      <c r="C33" s="160" t="s">
        <v>1</v>
      </c>
      <c r="D33" s="58">
        <f>IFERROR(IF(D32=0,D31,ROUND(D31/D32,0)),"")</f>
        <v>11678</v>
      </c>
      <c r="E33" s="58">
        <f>IFERROR(IF(E32=0,E31,ROUND(E31/E32,0)),"")</f>
        <v>5839</v>
      </c>
      <c r="F33" s="58">
        <f t="shared" ref="F33:G33" si="1">IFERROR(IF(F32=0,F31,ROUND(F31/F32,0)),"")</f>
        <v>2919</v>
      </c>
      <c r="G33" s="58">
        <f t="shared" si="1"/>
        <v>1946</v>
      </c>
      <c r="H33" s="218"/>
      <c r="I33" s="161" t="str">
        <f>'Risiko für Deutschland'!I29</f>
        <v>Größe der Einwohnergruppe in der sich durchschnittlich je 1 unbekannter infektiöser Mensch befindet</v>
      </c>
      <c r="J33" s="104"/>
    </row>
    <row r="34" spans="2:10" ht="15" x14ac:dyDescent="0.2">
      <c r="B34" s="103"/>
      <c r="C34" s="152" t="s">
        <v>1</v>
      </c>
      <c r="D34" s="263">
        <f>IFERROR(1/D33,"")</f>
        <v>8.5631101215961631E-5</v>
      </c>
      <c r="E34" s="263">
        <f>IFERROR(1/E33,"")</f>
        <v>1.7126220243192326E-4</v>
      </c>
      <c r="F34" s="263">
        <f t="shared" ref="F34:G34" si="2">IFERROR(1/F33,"")</f>
        <v>3.4258307639602604E-4</v>
      </c>
      <c r="G34" s="263">
        <f t="shared" si="2"/>
        <v>5.1387461459403907E-4</v>
      </c>
      <c r="H34" s="219"/>
      <c r="I34" s="155" t="str">
        <f>'Risiko für Deutschland'!I30</f>
        <v>Anteil der unbekannt infektiösen Menschen an der Einwohnergruppe</v>
      </c>
      <c r="J34" s="104"/>
    </row>
    <row r="35" spans="2:10" x14ac:dyDescent="0.2">
      <c r="B35" s="103"/>
      <c r="C35" s="12"/>
      <c r="D35" s="13"/>
      <c r="E35" s="13"/>
      <c r="F35" s="13"/>
      <c r="G35" s="13"/>
      <c r="H35" s="13"/>
      <c r="I35" s="2"/>
      <c r="J35" s="104"/>
    </row>
    <row r="36" spans="2:10" ht="15.75" x14ac:dyDescent="0.25">
      <c r="B36" s="103"/>
      <c r="C36" s="130" t="s">
        <v>111</v>
      </c>
      <c r="D36" s="317" t="str">
        <f>'Risiko für Deutschland'!D32</f>
        <v xml:space="preserve">Mein Infektionsrisiko für "Heute" </v>
      </c>
      <c r="E36" s="317"/>
      <c r="F36" s="317"/>
      <c r="G36" s="317"/>
      <c r="H36" s="204"/>
      <c r="I36" s="130" t="str">
        <f>'Risiko für Deutschland'!I32</f>
        <v>Wahrscheinlichkeit in Tagen (kalkulatorisch) und Prozent</v>
      </c>
      <c r="J36" s="104"/>
    </row>
    <row r="37" spans="2:10" x14ac:dyDescent="0.2">
      <c r="B37" s="103"/>
      <c r="C37" s="148"/>
      <c r="D37" s="16">
        <f>IFERROR(D33,"")</f>
        <v>11678</v>
      </c>
      <c r="E37" s="16">
        <f>IFERROR(E33,"")</f>
        <v>5839</v>
      </c>
      <c r="F37" s="16">
        <f>IFERROR(F33,"")</f>
        <v>2919</v>
      </c>
      <c r="G37" s="3">
        <f>IFERROR(G33,"")</f>
        <v>1946</v>
      </c>
      <c r="H37" s="214"/>
      <c r="I37" s="155" t="str">
        <f>'Risiko für Deutschland'!I33</f>
        <v>Größe der Einwohnergruppe in der sich durchschnittlich je 1 unbekannter infektiöser Mensch befindet</v>
      </c>
      <c r="J37" s="104"/>
    </row>
    <row r="38" spans="2:10" x14ac:dyDescent="0.2">
      <c r="B38" s="103"/>
      <c r="C38" s="150" t="s">
        <v>0</v>
      </c>
      <c r="D38" s="20">
        <f>IF(D37="","",'Dateneingabe (HIER BEFÜLLEN!)'!$E$9)</f>
        <v>15</v>
      </c>
      <c r="E38" s="20">
        <f>D38</f>
        <v>15</v>
      </c>
      <c r="F38" s="4">
        <f>D38</f>
        <v>15</v>
      </c>
      <c r="G38" s="4">
        <f>D38</f>
        <v>15</v>
      </c>
      <c r="H38" s="215"/>
      <c r="I38" s="154" t="str">
        <f>'Risiko für Deutschland'!I34</f>
        <v>geschätzte Anzahl der Nahkontakte (&lt;1,5 m), die ich "Heute" haben werde</v>
      </c>
      <c r="J38" s="104"/>
    </row>
    <row r="39" spans="2:10" ht="15.75" x14ac:dyDescent="0.25">
      <c r="B39" s="103"/>
      <c r="C39" s="152" t="s">
        <v>1</v>
      </c>
      <c r="D39" s="168">
        <f>IFERROR(ROUND(D37/D38,4),"")</f>
        <v>778.53330000000005</v>
      </c>
      <c r="E39" s="168">
        <f>IFERROR(ROUND(E37/E38,4),"")</f>
        <v>389.26670000000001</v>
      </c>
      <c r="F39" s="168">
        <f>IFERROR(ROUND(F37/F38,4),"")</f>
        <v>194.6</v>
      </c>
      <c r="G39" s="59">
        <f t="shared" ref="G39" si="3">IFERROR(ROUND(G37/G38,4),"")</f>
        <v>129.73330000000001</v>
      </c>
      <c r="H39" s="216"/>
      <c r="I39" s="163" t="str">
        <f>'Risiko für Deutschland'!I35</f>
        <v>Anzahl von Tagen, die ich durchschnittlich benötigen würde, um mit 1 unbekannten infektiösen Menschen in Nahkontakt (&lt;1,5 m) zu kommen</v>
      </c>
      <c r="J39" s="104"/>
    </row>
    <row r="40" spans="2:10" ht="15" x14ac:dyDescent="0.2">
      <c r="B40" s="103"/>
      <c r="C40" s="152" t="s">
        <v>1</v>
      </c>
      <c r="D40" s="264">
        <f>IFERROR(1/D39,"")</f>
        <v>1.2844665732345681E-3</v>
      </c>
      <c r="E40" s="264">
        <f>IFERROR(1/E39,"")</f>
        <v>2.5689328164983029E-3</v>
      </c>
      <c r="F40" s="264">
        <f>IFERROR(1/F39,"")</f>
        <v>5.1387461459403904E-3</v>
      </c>
      <c r="G40" s="264">
        <f t="shared" ref="G40" si="4">IFERROR(1/G39,"")</f>
        <v>7.7081211994144902E-3</v>
      </c>
      <c r="H40" s="219"/>
      <c r="I40" s="163" t="str">
        <f>'Risiko für Deutschland'!I36</f>
        <v>Mein Infektionsrisiko für "Heute" (= meine Anzahl von Nahkontakten "Heute" : Größe der Einwohnergruppe) [siehe auch Covid19+Lotto]</v>
      </c>
      <c r="J40" s="104"/>
    </row>
    <row r="41" spans="2:10" ht="15.75" x14ac:dyDescent="0.25">
      <c r="B41" s="103"/>
      <c r="C41" s="12"/>
      <c r="D41" s="14"/>
      <c r="E41" s="14"/>
      <c r="F41" s="14"/>
      <c r="G41" s="14"/>
      <c r="H41" s="14"/>
      <c r="I41" s="8"/>
      <c r="J41" s="104"/>
    </row>
    <row r="42" spans="2:10" ht="15.75" x14ac:dyDescent="0.25">
      <c r="B42" s="103"/>
      <c r="C42" s="130" t="s">
        <v>112</v>
      </c>
      <c r="D42" s="318" t="str">
        <f>'Risiko für Deutschland'!D38</f>
        <v>Mein Sterberisiko für "Heute"</v>
      </c>
      <c r="E42" s="318"/>
      <c r="F42" s="318"/>
      <c r="G42" s="318"/>
      <c r="H42" s="205"/>
      <c r="I42" s="134" t="str">
        <f>'Risiko für Deutschland'!I38</f>
        <v>Wahrscheinlichkeit in Jahren (kalkulatorisch) und Prozent</v>
      </c>
      <c r="J42" s="104"/>
    </row>
    <row r="43" spans="2:10" x14ac:dyDescent="0.2">
      <c r="B43" s="103"/>
      <c r="C43" s="164"/>
      <c r="D43" s="169">
        <f>IFERROR(D39,"")</f>
        <v>778.53330000000005</v>
      </c>
      <c r="E43" s="169">
        <f>IFERROR(E39,"")</f>
        <v>389.26670000000001</v>
      </c>
      <c r="F43" s="169">
        <f>IFERROR(F39,"")</f>
        <v>194.6</v>
      </c>
      <c r="G43" s="170">
        <f>IFERROR(G39,"")</f>
        <v>129.73330000000001</v>
      </c>
      <c r="H43" s="217"/>
      <c r="I43" s="153" t="str">
        <f>'Risiko für Deutschland'!I39</f>
        <v>Anzahl von Tagen, die ich durchschnittlich benötigen würde, um mit 1 unbekannten infektiösen Menschen in Nahkontakt (&lt;1,5 m) zu kommen</v>
      </c>
      <c r="J43" s="104"/>
    </row>
    <row r="44" spans="2:10" x14ac:dyDescent="0.2">
      <c r="B44" s="103"/>
      <c r="C44" s="165" t="s">
        <v>0</v>
      </c>
      <c r="D44" s="17">
        <f>'Dateneingabe (HIER BEFÜLLEN!)'!F44</f>
        <v>1.72E-2</v>
      </c>
      <c r="E44" s="17">
        <f>D44</f>
        <v>1.72E-2</v>
      </c>
      <c r="F44" s="17">
        <f>D44</f>
        <v>1.72E-2</v>
      </c>
      <c r="G44" s="5">
        <f>D44</f>
        <v>1.72E-2</v>
      </c>
      <c r="H44" s="119"/>
      <c r="I44" s="153" t="str">
        <f>'Risiko für Deutschland'!I40</f>
        <v>Anteil Todesfälle</v>
      </c>
      <c r="J44" s="104"/>
    </row>
    <row r="45" spans="2:10" x14ac:dyDescent="0.2">
      <c r="B45" s="103"/>
      <c r="C45" s="164" t="s">
        <v>1</v>
      </c>
      <c r="D45" s="170">
        <f>IFERROR(ROUND(D43/D44,2),"")</f>
        <v>45263.56</v>
      </c>
      <c r="E45" s="170">
        <f>IFERROR(ROUND(E43/E44,2),"")</f>
        <v>22631.78</v>
      </c>
      <c r="F45" s="170">
        <f t="shared" ref="F45:G45" si="5">IFERROR(ROUND(F43/F44,2),"")</f>
        <v>11313.95</v>
      </c>
      <c r="G45" s="170">
        <f t="shared" si="5"/>
        <v>7542.63</v>
      </c>
      <c r="H45" s="220"/>
      <c r="I45" s="224" t="str">
        <f>'Risiko für Deutschland'!I41</f>
        <v>Anzahl der Tage bis die Anzahl der unbekannten infektiösen Kontakte so groß wäre, dass rechnerisch mein Todesfall zu erwarten ist</v>
      </c>
      <c r="J45" s="104"/>
    </row>
    <row r="46" spans="2:10" x14ac:dyDescent="0.2">
      <c r="B46" s="103"/>
      <c r="C46" s="167" t="s">
        <v>0</v>
      </c>
      <c r="D46" s="6">
        <f>IF(D45="","",365.25)</f>
        <v>365.25</v>
      </c>
      <c r="E46" s="6">
        <f>IF(E45="","",365.25)</f>
        <v>365.25</v>
      </c>
      <c r="F46" s="6">
        <f t="shared" ref="F46:G46" si="6">IF(F45="","",365.25)</f>
        <v>365.25</v>
      </c>
      <c r="G46" s="6">
        <f t="shared" si="6"/>
        <v>365.25</v>
      </c>
      <c r="H46" s="221"/>
      <c r="I46" s="154" t="str">
        <f>'Risiko für Deutschland'!I42</f>
        <v>Anzahl Tage pro Jahr</v>
      </c>
      <c r="J46" s="104"/>
    </row>
    <row r="47" spans="2:10" ht="15.75" x14ac:dyDescent="0.25">
      <c r="B47" s="103"/>
      <c r="C47" s="166" t="s">
        <v>1</v>
      </c>
      <c r="D47" s="59">
        <f>IFERROR(ROUND(D45/D46,2),"")</f>
        <v>123.92</v>
      </c>
      <c r="E47" s="59">
        <f>IFERROR(ROUND(E45/E46,2),"")</f>
        <v>61.96</v>
      </c>
      <c r="F47" s="59">
        <f t="shared" ref="F47:G47" si="7">IFERROR(ROUND(F45/F46,2),"")</f>
        <v>30.98</v>
      </c>
      <c r="G47" s="59">
        <f t="shared" si="7"/>
        <v>20.65</v>
      </c>
      <c r="H47" s="216"/>
      <c r="I47" s="153" t="str">
        <f>'Risiko für Deutschland'!I43</f>
        <v>Anzahl der Jahre bis die Anzahl der unbekannten infektiösen Kontakte so groß wäre, dass rechnerisch mein Todesfall zu erwarten ist</v>
      </c>
      <c r="J47" s="104"/>
    </row>
    <row r="48" spans="2:10" ht="15" x14ac:dyDescent="0.2">
      <c r="B48" s="103"/>
      <c r="C48" s="166" t="s">
        <v>1</v>
      </c>
      <c r="D48" s="264">
        <f>IFERROR(1/D45,"")</f>
        <v>2.209282698930442E-5</v>
      </c>
      <c r="E48" s="264">
        <f>IFERROR(1/E45,"")</f>
        <v>4.4185653978608841E-5</v>
      </c>
      <c r="F48" s="264">
        <f t="shared" ref="F48:G48" si="8">IFERROR(1/F45,"")</f>
        <v>8.8386460961909855E-5</v>
      </c>
      <c r="G48" s="264">
        <f t="shared" si="8"/>
        <v>1.3257975003413928E-4</v>
      </c>
      <c r="H48" s="219"/>
      <c r="I48" s="153" t="str">
        <f>'Risiko für Deutschland'!I44</f>
        <v>Mein Sterberisiko für "Heute" (= Mein Infektionsrisiko für "Heute" x Anteil Todesfälle) [siehe auch Covid19+Lotto]</v>
      </c>
      <c r="J48" s="104"/>
    </row>
    <row r="49" spans="2:10" x14ac:dyDescent="0.2">
      <c r="B49" s="105"/>
      <c r="C49" s="110"/>
      <c r="D49" s="111"/>
      <c r="E49" s="111"/>
      <c r="F49" s="111"/>
      <c r="G49" s="111"/>
      <c r="H49" s="111"/>
      <c r="I49" s="112" t="s">
        <v>103</v>
      </c>
      <c r="J49" s="109"/>
    </row>
    <row r="50" spans="2:10" x14ac:dyDescent="0.2">
      <c r="D50" s="292"/>
    </row>
    <row r="51" spans="2:10" x14ac:dyDescent="0.2">
      <c r="D51" s="171"/>
      <c r="E51" s="171"/>
    </row>
  </sheetData>
  <sheetProtection algorithmName="SHA-512" hashValue="63PGGcEIumapzCbtGG1tm7Tk4mNhd/Y132Asc02KVA9U1l/v7z51ACjrBMrI1/EGWQ9VTZtz20ydBlqly0jKug==" saltValue="usB6uEYHJ9X7Mm+N4Av3Bg==" spinCount="100000" sheet="1" objects="1" scenarios="1"/>
  <mergeCells count="10">
    <mergeCell ref="D23:G23"/>
    <mergeCell ref="D30:G30"/>
    <mergeCell ref="D36:G36"/>
    <mergeCell ref="D42:G42"/>
    <mergeCell ref="C2:I2"/>
    <mergeCell ref="C3:I3"/>
    <mergeCell ref="D18:G18"/>
    <mergeCell ref="C5:E5"/>
    <mergeCell ref="D11:G11"/>
    <mergeCell ref="D17:G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1" orientation="portrait" horizontalDpi="1200" verticalDpi="1200" r:id="rId1"/>
  <headerFooter>
    <oddHeader>&amp;CSchätzung meines persönlichen Covid-19 Infektions- und Sterberisikos
&amp;"Arial,Fett"&amp;12Risikoanalyse - Lightversion</oddHeader>
    <oddFooter>&amp;CSeite &amp;P von &amp;N</oddFooter>
  </headerFooter>
  <ignoredErrors>
    <ignoredError sqref="F8 I12:I15 I20 I27:I28 I31:I34 I37:I40 I43:I48 I21" unlockedFormula="1"/>
    <ignoredError sqref="E46:G46 D4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C2:F39"/>
  <sheetViews>
    <sheetView topLeftCell="B13" zoomScaleNormal="100" workbookViewId="0">
      <selection activeCell="D18" sqref="D18:E18"/>
    </sheetView>
  </sheetViews>
  <sheetFormatPr baseColWidth="10" defaultColWidth="11.42578125" defaultRowHeight="15" x14ac:dyDescent="0.2"/>
  <cols>
    <col min="1" max="3" width="1.7109375" style="124" customWidth="1"/>
    <col min="4" max="4" width="24.42578125" style="124" bestFit="1" customWidth="1"/>
    <col min="5" max="5" width="134.5703125" style="124" customWidth="1"/>
    <col min="6" max="6" width="1.7109375" style="124" customWidth="1"/>
    <col min="7" max="16384" width="11.42578125" style="124"/>
  </cols>
  <sheetData>
    <row r="2" spans="3:6" x14ac:dyDescent="0.2">
      <c r="C2" s="25"/>
      <c r="D2" s="81"/>
      <c r="E2" s="81"/>
      <c r="F2" s="307"/>
    </row>
    <row r="3" spans="3:6" ht="18" x14ac:dyDescent="0.25">
      <c r="C3" s="26"/>
      <c r="D3" s="332" t="s">
        <v>9</v>
      </c>
      <c r="E3" s="332"/>
      <c r="F3" s="308"/>
    </row>
    <row r="4" spans="3:6" x14ac:dyDescent="0.2">
      <c r="C4" s="26"/>
      <c r="D4" s="79" t="s">
        <v>20</v>
      </c>
      <c r="E4" s="80" t="s">
        <v>142</v>
      </c>
      <c r="F4" s="308"/>
    </row>
    <row r="5" spans="3:6" ht="15.75" x14ac:dyDescent="0.25">
      <c r="C5" s="26"/>
      <c r="D5" s="78"/>
      <c r="E5" s="86"/>
      <c r="F5" s="308"/>
    </row>
    <row r="6" spans="3:6" x14ac:dyDescent="0.2">
      <c r="C6" s="26"/>
      <c r="D6" s="78" t="s">
        <v>14</v>
      </c>
      <c r="E6" s="80" t="s">
        <v>155</v>
      </c>
      <c r="F6" s="308"/>
    </row>
    <row r="7" spans="3:6" x14ac:dyDescent="0.2">
      <c r="C7" s="26"/>
      <c r="D7" s="78" t="s">
        <v>14</v>
      </c>
      <c r="E7" s="80" t="s">
        <v>16</v>
      </c>
      <c r="F7" s="308"/>
    </row>
    <row r="8" spans="3:6" x14ac:dyDescent="0.2">
      <c r="C8" s="26"/>
      <c r="D8" s="78" t="s">
        <v>15</v>
      </c>
      <c r="E8" s="80" t="s">
        <v>18</v>
      </c>
      <c r="F8" s="308"/>
    </row>
    <row r="9" spans="3:6" x14ac:dyDescent="0.2">
      <c r="C9" s="26"/>
      <c r="D9" s="78" t="s">
        <v>69</v>
      </c>
      <c r="E9" s="80" t="s">
        <v>17</v>
      </c>
      <c r="F9" s="308"/>
    </row>
    <row r="10" spans="3:6" x14ac:dyDescent="0.2">
      <c r="C10" s="26"/>
      <c r="D10" s="78" t="s">
        <v>14</v>
      </c>
      <c r="E10" s="80" t="s">
        <v>19</v>
      </c>
      <c r="F10" s="308"/>
    </row>
    <row r="11" spans="3:6" x14ac:dyDescent="0.2">
      <c r="C11" s="26"/>
      <c r="D11" s="78"/>
      <c r="E11" s="78"/>
      <c r="F11" s="308"/>
    </row>
    <row r="12" spans="3:6" x14ac:dyDescent="0.2">
      <c r="C12" s="26"/>
      <c r="D12" s="330" t="s">
        <v>141</v>
      </c>
      <c r="E12" s="330"/>
      <c r="F12" s="308"/>
    </row>
    <row r="13" spans="3:6" x14ac:dyDescent="0.2">
      <c r="C13" s="26"/>
      <c r="D13" s="330" t="s">
        <v>156</v>
      </c>
      <c r="E13" s="330"/>
      <c r="F13" s="308"/>
    </row>
    <row r="14" spans="3:6" x14ac:dyDescent="0.2">
      <c r="C14" s="26"/>
      <c r="D14" s="330" t="s">
        <v>21</v>
      </c>
      <c r="E14" s="330"/>
      <c r="F14" s="308"/>
    </row>
    <row r="15" spans="3:6" x14ac:dyDescent="0.2">
      <c r="C15" s="26"/>
      <c r="D15" s="330" t="s">
        <v>22</v>
      </c>
      <c r="E15" s="330"/>
      <c r="F15" s="308"/>
    </row>
    <row r="16" spans="3:6" x14ac:dyDescent="0.2">
      <c r="C16" s="26"/>
      <c r="D16" s="330" t="s">
        <v>23</v>
      </c>
      <c r="E16" s="330"/>
      <c r="F16" s="308"/>
    </row>
    <row r="17" spans="3:6" x14ac:dyDescent="0.2">
      <c r="C17" s="26"/>
      <c r="D17" s="330"/>
      <c r="E17" s="330"/>
      <c r="F17" s="308"/>
    </row>
    <row r="18" spans="3:6" s="125" customFormat="1" ht="18" x14ac:dyDescent="0.25">
      <c r="C18" s="82"/>
      <c r="D18" s="329" t="s">
        <v>52</v>
      </c>
      <c r="E18" s="329"/>
      <c r="F18" s="309"/>
    </row>
    <row r="19" spans="3:6" s="125" customFormat="1" ht="18" x14ac:dyDescent="0.25">
      <c r="C19" s="82"/>
      <c r="D19" s="329" t="s">
        <v>24</v>
      </c>
      <c r="E19" s="329"/>
      <c r="F19" s="309"/>
    </row>
    <row r="20" spans="3:6" x14ac:dyDescent="0.2">
      <c r="C20" s="26"/>
      <c r="D20" s="83"/>
      <c r="E20" s="83"/>
      <c r="F20" s="308"/>
    </row>
    <row r="21" spans="3:6" x14ac:dyDescent="0.2">
      <c r="C21" s="26"/>
      <c r="D21" s="331" t="s">
        <v>77</v>
      </c>
      <c r="E21" s="331"/>
      <c r="F21" s="308"/>
    </row>
    <row r="22" spans="3:6" x14ac:dyDescent="0.2">
      <c r="C22" s="26"/>
      <c r="D22" s="331" t="s">
        <v>53</v>
      </c>
      <c r="E22" s="331"/>
      <c r="F22" s="308"/>
    </row>
    <row r="23" spans="3:6" x14ac:dyDescent="0.2">
      <c r="C23" s="26"/>
      <c r="D23" s="331" t="s">
        <v>55</v>
      </c>
      <c r="E23" s="331"/>
      <c r="F23" s="308"/>
    </row>
    <row r="24" spans="3:6" x14ac:dyDescent="0.2">
      <c r="C24" s="26"/>
      <c r="D24" s="331" t="s">
        <v>157</v>
      </c>
      <c r="E24" s="331"/>
      <c r="F24" s="308"/>
    </row>
    <row r="25" spans="3:6" x14ac:dyDescent="0.2">
      <c r="C25" s="26"/>
      <c r="D25" s="330" t="s">
        <v>54</v>
      </c>
      <c r="E25" s="330"/>
      <c r="F25" s="308"/>
    </row>
    <row r="26" spans="3:6" x14ac:dyDescent="0.2">
      <c r="C26" s="26"/>
      <c r="D26" s="330" t="s">
        <v>56</v>
      </c>
      <c r="E26" s="330"/>
      <c r="F26" s="308"/>
    </row>
    <row r="27" spans="3:6" x14ac:dyDescent="0.2">
      <c r="C27" s="26"/>
      <c r="D27" s="330" t="s">
        <v>57</v>
      </c>
      <c r="E27" s="330"/>
      <c r="F27" s="308"/>
    </row>
    <row r="28" spans="3:6" x14ac:dyDescent="0.2">
      <c r="C28" s="26"/>
      <c r="D28" s="330" t="s">
        <v>158</v>
      </c>
      <c r="E28" s="330"/>
      <c r="F28" s="308"/>
    </row>
    <row r="29" spans="3:6" x14ac:dyDescent="0.2">
      <c r="C29" s="26"/>
      <c r="D29" s="330" t="s">
        <v>159</v>
      </c>
      <c r="E29" s="330"/>
      <c r="F29" s="308"/>
    </row>
    <row r="30" spans="3:6" x14ac:dyDescent="0.2">
      <c r="C30" s="26"/>
      <c r="D30" s="330" t="s">
        <v>58</v>
      </c>
      <c r="E30" s="330"/>
      <c r="F30" s="308"/>
    </row>
    <row r="31" spans="3:6" x14ac:dyDescent="0.2">
      <c r="C31" s="26"/>
      <c r="D31" s="79"/>
      <c r="E31" s="79"/>
      <c r="F31" s="308"/>
    </row>
    <row r="32" spans="3:6" x14ac:dyDescent="0.2">
      <c r="C32" s="26"/>
      <c r="D32" s="330" t="s">
        <v>59</v>
      </c>
      <c r="E32" s="330"/>
      <c r="F32" s="308"/>
    </row>
    <row r="33" spans="3:6" s="125" customFormat="1" ht="18" x14ac:dyDescent="0.25">
      <c r="C33" s="82"/>
      <c r="D33" s="329" t="s">
        <v>60</v>
      </c>
      <c r="E33" s="329"/>
      <c r="F33" s="309"/>
    </row>
    <row r="34" spans="3:6" s="125" customFormat="1" ht="18" x14ac:dyDescent="0.25">
      <c r="C34" s="82"/>
      <c r="D34" s="329" t="s">
        <v>61</v>
      </c>
      <c r="E34" s="329"/>
      <c r="F34" s="309"/>
    </row>
    <row r="35" spans="3:6" ht="18" x14ac:dyDescent="0.25">
      <c r="C35" s="26"/>
      <c r="D35" s="329" t="s">
        <v>62</v>
      </c>
      <c r="E35" s="329"/>
      <c r="F35" s="308"/>
    </row>
    <row r="36" spans="3:6" ht="18" x14ac:dyDescent="0.25">
      <c r="C36" s="26"/>
      <c r="D36" s="329" t="s">
        <v>25</v>
      </c>
      <c r="E36" s="329"/>
      <c r="F36" s="308"/>
    </row>
    <row r="37" spans="3:6" ht="18" x14ac:dyDescent="0.25">
      <c r="C37" s="26"/>
      <c r="D37" s="329" t="s">
        <v>27</v>
      </c>
      <c r="E37" s="329"/>
      <c r="F37" s="308"/>
    </row>
    <row r="38" spans="3:6" ht="18" x14ac:dyDescent="0.25">
      <c r="C38" s="26"/>
      <c r="D38" s="329" t="s">
        <v>26</v>
      </c>
      <c r="E38" s="329"/>
      <c r="F38" s="308"/>
    </row>
    <row r="39" spans="3:6" x14ac:dyDescent="0.2">
      <c r="C39" s="27"/>
      <c r="D39" s="84"/>
      <c r="E39" s="85" t="str">
        <f>'Dateneingabe (HIER BEFÜLLEN!)'!G48</f>
        <v>Autor: www.uwe-loose.de</v>
      </c>
      <c r="F39" s="310"/>
    </row>
  </sheetData>
  <sheetProtection algorithmName="SHA-512" hashValue="ecTQuOrLSEHeZ/BMSM5LOsb4VyPao0fN6On5pROju1ZcYW+VLWXTuWa1hlshUbKNeSOf+oYHsBkXMdBQZNEELA==" saltValue="mHWhVqaIEqiPltTrSGPO5Q==" spinCount="100000" sheet="1" objects="1" scenarios="1"/>
  <mergeCells count="26">
    <mergeCell ref="D3:E3"/>
    <mergeCell ref="D12:E12"/>
    <mergeCell ref="D13:E13"/>
    <mergeCell ref="D14:E14"/>
    <mergeCell ref="D15:E15"/>
    <mergeCell ref="D27:E27"/>
    <mergeCell ref="D16:E16"/>
    <mergeCell ref="D17:E17"/>
    <mergeCell ref="D18:E18"/>
    <mergeCell ref="D19:E19"/>
    <mergeCell ref="D21:E21"/>
    <mergeCell ref="D22:E22"/>
    <mergeCell ref="D23:E23"/>
    <mergeCell ref="D24:E24"/>
    <mergeCell ref="D25:E25"/>
    <mergeCell ref="D26:E26"/>
    <mergeCell ref="D35:E35"/>
    <mergeCell ref="D36:E36"/>
    <mergeCell ref="D37:E37"/>
    <mergeCell ref="D38:E38"/>
    <mergeCell ref="D28:E28"/>
    <mergeCell ref="D29:E29"/>
    <mergeCell ref="D30:E30"/>
    <mergeCell ref="D32:E32"/>
    <mergeCell ref="D33:E33"/>
    <mergeCell ref="D34:E3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7" orientation="landscape" horizontalDpi="1200" verticalDpi="1200" r:id="rId1"/>
  <headerFooter>
    <oddHeader>&amp;CSchätzung meines persönlichen Covid-19 Infektions- und Sterberisikos
&amp;"Arial,Fett"&amp;12-Würdigung der Ergebnisse-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B2:J26"/>
  <sheetViews>
    <sheetView showGridLines="0" workbookViewId="0">
      <selection activeCell="F21" sqref="F21"/>
    </sheetView>
  </sheetViews>
  <sheetFormatPr baseColWidth="10" defaultColWidth="10.85546875" defaultRowHeight="12.75" x14ac:dyDescent="0.2"/>
  <cols>
    <col min="1" max="1" width="1.7109375" style="117" customWidth="1"/>
    <col min="2" max="2" width="1.5703125" style="117" customWidth="1"/>
    <col min="3" max="3" width="22.140625" style="117" bestFit="1" customWidth="1"/>
    <col min="4" max="4" width="11.28515625" style="117" customWidth="1"/>
    <col min="5" max="5" width="9.140625" style="117" bestFit="1" customWidth="1"/>
    <col min="6" max="6" width="11.28515625" style="117" customWidth="1"/>
    <col min="7" max="7" width="6.42578125" style="117" bestFit="1" customWidth="1"/>
    <col min="8" max="9" width="9.85546875" style="117" bestFit="1" customWidth="1"/>
    <col min="10" max="10" width="1.5703125" style="117" customWidth="1"/>
    <col min="11" max="16384" width="10.85546875" style="117"/>
  </cols>
  <sheetData>
    <row r="2" spans="2:10" x14ac:dyDescent="0.2">
      <c r="B2" s="28"/>
      <c r="C2" s="28"/>
      <c r="D2" s="28"/>
      <c r="E2" s="28"/>
      <c r="F2" s="28"/>
      <c r="G2" s="28"/>
      <c r="H2" s="28"/>
      <c r="I2" s="28"/>
      <c r="J2" s="28"/>
    </row>
    <row r="3" spans="2:10" x14ac:dyDescent="0.2">
      <c r="B3" s="28"/>
      <c r="C3" s="175" t="s">
        <v>78</v>
      </c>
      <c r="D3" s="28"/>
      <c r="E3" s="28"/>
      <c r="F3" s="28"/>
      <c r="G3" s="28"/>
      <c r="H3" s="28"/>
      <c r="I3" s="28"/>
      <c r="J3" s="28"/>
    </row>
    <row r="4" spans="2:10" x14ac:dyDescent="0.2">
      <c r="B4" s="28"/>
      <c r="C4" s="333" t="s">
        <v>28</v>
      </c>
      <c r="D4" s="334"/>
      <c r="E4" s="57" t="s">
        <v>49</v>
      </c>
      <c r="F4" s="336" t="s">
        <v>28</v>
      </c>
      <c r="G4" s="336"/>
      <c r="H4" s="336"/>
      <c r="I4" s="337"/>
      <c r="J4" s="28"/>
    </row>
    <row r="5" spans="2:10" x14ac:dyDescent="0.2">
      <c r="B5" s="28"/>
      <c r="C5" s="34" t="s">
        <v>28</v>
      </c>
      <c r="D5" s="38" t="s">
        <v>47</v>
      </c>
      <c r="E5" s="32" t="s">
        <v>50</v>
      </c>
      <c r="F5" s="234" t="s">
        <v>48</v>
      </c>
      <c r="G5" s="38" t="s">
        <v>65</v>
      </c>
      <c r="H5" s="333" t="s">
        <v>12</v>
      </c>
      <c r="I5" s="335"/>
      <c r="J5" s="28"/>
    </row>
    <row r="6" spans="2:10" x14ac:dyDescent="0.2">
      <c r="B6" s="28"/>
      <c r="C6" s="35"/>
      <c r="D6" s="31"/>
      <c r="E6" s="32" t="s">
        <v>66</v>
      </c>
      <c r="F6" s="51"/>
      <c r="G6" s="32" t="s">
        <v>66</v>
      </c>
      <c r="H6" s="41" t="s">
        <v>45</v>
      </c>
      <c r="I6" s="41" t="s">
        <v>45</v>
      </c>
      <c r="J6" s="28"/>
    </row>
    <row r="7" spans="2:10" x14ac:dyDescent="0.2">
      <c r="B7" s="28"/>
      <c r="C7" s="36"/>
      <c r="D7" s="49"/>
      <c r="E7" s="33" t="s">
        <v>44</v>
      </c>
      <c r="F7" s="50"/>
      <c r="G7" s="33" t="s">
        <v>44</v>
      </c>
      <c r="H7" s="42" t="s">
        <v>49</v>
      </c>
      <c r="I7" s="39" t="s">
        <v>49</v>
      </c>
      <c r="J7" s="28"/>
    </row>
    <row r="8" spans="2:10" x14ac:dyDescent="0.2">
      <c r="B8" s="28"/>
      <c r="C8" s="52"/>
      <c r="D8" s="53" t="s">
        <v>79</v>
      </c>
      <c r="E8" s="56"/>
      <c r="F8" s="54" t="str">
        <f>IF('Dateneingabe (HIER BEFÜLLEN!)'!$E$25=D8,D8,"")</f>
        <v/>
      </c>
      <c r="G8" s="54"/>
      <c r="H8" s="54"/>
      <c r="I8" s="55" t="str">
        <f t="shared" ref="I8:I17" si="0">IF(F8="","",H8)</f>
        <v/>
      </c>
      <c r="J8" s="28"/>
    </row>
    <row r="9" spans="2:10" x14ac:dyDescent="0.2">
      <c r="B9" s="28"/>
      <c r="C9" s="31" t="s">
        <v>29</v>
      </c>
      <c r="D9" s="21" t="s">
        <v>70</v>
      </c>
      <c r="E9" s="304">
        <f>330479/100</f>
        <v>3304.79</v>
      </c>
      <c r="F9" s="29" t="str">
        <f>IF('Dateneingabe (HIER BEFÜLLEN!)'!$E$25=D9,D9,"")</f>
        <v/>
      </c>
      <c r="G9" s="29" t="str">
        <f t="shared" ref="G9:G24" si="1">IF(F9=D9,ROUND(E9,0),"")</f>
        <v/>
      </c>
      <c r="H9" s="29">
        <v>11069533</v>
      </c>
      <c r="I9" s="40" t="str">
        <f t="shared" si="0"/>
        <v/>
      </c>
      <c r="J9" s="28"/>
    </row>
    <row r="10" spans="2:10" x14ac:dyDescent="0.2">
      <c r="B10" s="28"/>
      <c r="C10" s="31" t="s">
        <v>30</v>
      </c>
      <c r="D10" s="21" t="s">
        <v>30</v>
      </c>
      <c r="E10" s="305">
        <f>534832/100</f>
        <v>5348.32</v>
      </c>
      <c r="F10" s="29" t="str">
        <f>IF('Dateneingabe (HIER BEFÜLLEN!)'!$E$25=D10,D10,"")</f>
        <v/>
      </c>
      <c r="G10" s="29" t="str">
        <f t="shared" si="1"/>
        <v/>
      </c>
      <c r="H10" s="29">
        <v>13076721</v>
      </c>
      <c r="I10" s="40" t="str">
        <f t="shared" si="0"/>
        <v/>
      </c>
      <c r="J10" s="28"/>
    </row>
    <row r="11" spans="2:10" x14ac:dyDescent="0.2">
      <c r="B11" s="28"/>
      <c r="C11" s="31" t="s">
        <v>33</v>
      </c>
      <c r="D11" s="21" t="s">
        <v>33</v>
      </c>
      <c r="E11" s="305">
        <f>49314/100</f>
        <v>493.14</v>
      </c>
      <c r="F11" s="29" t="str">
        <f>IF('Dateneingabe (HIER BEFÜLLEN!)'!$E$25=D11,D11,"")</f>
        <v/>
      </c>
      <c r="G11" s="29" t="str">
        <f t="shared" si="1"/>
        <v/>
      </c>
      <c r="H11" s="29">
        <v>3644826</v>
      </c>
      <c r="I11" s="40" t="str">
        <f t="shared" si="0"/>
        <v/>
      </c>
      <c r="J11" s="28"/>
    </row>
    <row r="12" spans="2:10" x14ac:dyDescent="0.2">
      <c r="B12" s="28"/>
      <c r="C12" s="31" t="s">
        <v>37</v>
      </c>
      <c r="D12" s="21" t="s">
        <v>76</v>
      </c>
      <c r="E12" s="305">
        <f>201093/100</f>
        <v>2010.93</v>
      </c>
      <c r="F12" s="29" t="str">
        <f>IF('Dateneingabe (HIER BEFÜLLEN!)'!$E$25=D12,D12,"")</f>
        <v/>
      </c>
      <c r="G12" s="29" t="str">
        <f t="shared" si="1"/>
        <v/>
      </c>
      <c r="H12" s="29">
        <v>2511917</v>
      </c>
      <c r="I12" s="40" t="str">
        <f t="shared" si="0"/>
        <v/>
      </c>
      <c r="J12" s="28"/>
    </row>
    <row r="13" spans="2:10" x14ac:dyDescent="0.2">
      <c r="B13" s="28"/>
      <c r="C13" s="31" t="s">
        <v>40</v>
      </c>
      <c r="D13" s="21" t="s">
        <v>40</v>
      </c>
      <c r="E13" s="305">
        <f>18496/100</f>
        <v>184.96</v>
      </c>
      <c r="F13" s="29" t="str">
        <f>IF('Dateneingabe (HIER BEFÜLLEN!)'!$E$25=D13,D13,"")</f>
        <v/>
      </c>
      <c r="G13" s="29" t="str">
        <f t="shared" si="1"/>
        <v/>
      </c>
      <c r="H13" s="29">
        <v>682986</v>
      </c>
      <c r="I13" s="40" t="str">
        <f t="shared" si="0"/>
        <v/>
      </c>
      <c r="J13" s="28"/>
    </row>
    <row r="14" spans="2:10" x14ac:dyDescent="0.2">
      <c r="B14" s="28"/>
      <c r="C14" s="31" t="s">
        <v>36</v>
      </c>
      <c r="D14" s="21" t="s">
        <v>36</v>
      </c>
      <c r="E14" s="305">
        <f>35073/100</f>
        <v>350.73</v>
      </c>
      <c r="F14" s="29" t="str">
        <f>IF('Dateneingabe (HIER BEFÜLLEN!)'!$E$25=D14,D14,"")</f>
        <v/>
      </c>
      <c r="G14" s="29" t="str">
        <f t="shared" si="1"/>
        <v/>
      </c>
      <c r="H14" s="29">
        <v>1841179</v>
      </c>
      <c r="I14" s="40" t="str">
        <f t="shared" si="0"/>
        <v/>
      </c>
      <c r="J14" s="28"/>
    </row>
    <row r="15" spans="2:10" x14ac:dyDescent="0.2">
      <c r="B15" s="28"/>
      <c r="C15" s="31" t="s">
        <v>32</v>
      </c>
      <c r="D15" s="21" t="s">
        <v>32</v>
      </c>
      <c r="E15" s="305">
        <f>196698/100</f>
        <v>1966.98</v>
      </c>
      <c r="F15" s="29" t="str">
        <f>IF('Dateneingabe (HIER BEFÜLLEN!)'!$E$25=D15,D15,"")</f>
        <v/>
      </c>
      <c r="G15" s="29" t="str">
        <f t="shared" si="1"/>
        <v/>
      </c>
      <c r="H15" s="29">
        <v>6265809</v>
      </c>
      <c r="I15" s="40" t="str">
        <f t="shared" si="0"/>
        <v/>
      </c>
      <c r="J15" s="28"/>
    </row>
    <row r="16" spans="2:10" x14ac:dyDescent="0.2">
      <c r="B16" s="28"/>
      <c r="C16" s="31" t="s">
        <v>41</v>
      </c>
      <c r="D16" s="21" t="s">
        <v>71</v>
      </c>
      <c r="E16" s="305">
        <f>128950/100</f>
        <v>1289.5</v>
      </c>
      <c r="F16" s="29" t="str">
        <f>IF('Dateneingabe (HIER BEFÜLLEN!)'!$E$25=D16,D16,"")</f>
        <v/>
      </c>
      <c r="G16" s="29" t="str">
        <f t="shared" si="1"/>
        <v/>
      </c>
      <c r="H16" s="29">
        <v>1609675</v>
      </c>
      <c r="I16" s="40" t="str">
        <f t="shared" si="0"/>
        <v/>
      </c>
      <c r="J16" s="28"/>
    </row>
    <row r="17" spans="2:10" x14ac:dyDescent="0.2">
      <c r="B17" s="28"/>
      <c r="C17" s="31" t="s">
        <v>31</v>
      </c>
      <c r="D17" s="21" t="s">
        <v>72</v>
      </c>
      <c r="E17" s="305">
        <f>446571/100</f>
        <v>4465.71</v>
      </c>
      <c r="F17" s="29" t="str">
        <f>IF('Dateneingabe (HIER BEFÜLLEN!)'!$E$25=D17,D17,"")</f>
        <v/>
      </c>
      <c r="G17" s="29" t="str">
        <f t="shared" si="1"/>
        <v/>
      </c>
      <c r="H17" s="29">
        <v>7982448</v>
      </c>
      <c r="I17" s="40" t="str">
        <f t="shared" si="0"/>
        <v/>
      </c>
      <c r="J17" s="28"/>
    </row>
    <row r="18" spans="2:10" x14ac:dyDescent="0.2">
      <c r="B18" s="28"/>
      <c r="C18" s="31" t="s">
        <v>46</v>
      </c>
      <c r="D18" s="21" t="s">
        <v>46</v>
      </c>
      <c r="E18" s="305">
        <f>565798/100</f>
        <v>5657.98</v>
      </c>
      <c r="F18" s="29" t="str">
        <f>IF('Dateneingabe (HIER BEFÜLLEN!)'!$E$25=D18,D18,"")</f>
        <v>NRW</v>
      </c>
      <c r="G18" s="29">
        <f t="shared" si="1"/>
        <v>5658</v>
      </c>
      <c r="H18" s="29">
        <v>17932651</v>
      </c>
      <c r="I18" s="40">
        <f t="shared" ref="I18:I24" si="2">IF(F18="","",H18)</f>
        <v>17932651</v>
      </c>
      <c r="J18" s="28"/>
    </row>
    <row r="19" spans="2:10" x14ac:dyDescent="0.2">
      <c r="B19" s="28"/>
      <c r="C19" s="31" t="s">
        <v>34</v>
      </c>
      <c r="D19" s="21" t="s">
        <v>73</v>
      </c>
      <c r="E19" s="305">
        <f>169347/100</f>
        <v>1693.47</v>
      </c>
      <c r="F19" s="29" t="str">
        <f>IF('Dateneingabe (HIER BEFÜLLEN!)'!$E$25=D19,D19,"")</f>
        <v/>
      </c>
      <c r="G19" s="29" t="str">
        <f t="shared" si="1"/>
        <v/>
      </c>
      <c r="H19" s="29">
        <v>4084844</v>
      </c>
      <c r="I19" s="40" t="str">
        <f t="shared" si="2"/>
        <v/>
      </c>
      <c r="J19" s="28"/>
    </row>
    <row r="20" spans="2:10" x14ac:dyDescent="0.2">
      <c r="B20" s="28"/>
      <c r="C20" s="31" t="s">
        <v>42</v>
      </c>
      <c r="D20" s="21" t="s">
        <v>42</v>
      </c>
      <c r="E20" s="305">
        <f>39348/100</f>
        <v>393.48</v>
      </c>
      <c r="F20" s="29" t="str">
        <f>IF('Dateneingabe (HIER BEFÜLLEN!)'!$E$25=D20,D20,"")</f>
        <v/>
      </c>
      <c r="G20" s="29" t="str">
        <f t="shared" si="1"/>
        <v/>
      </c>
      <c r="H20" s="29">
        <v>990509</v>
      </c>
      <c r="I20" s="40" t="str">
        <f t="shared" si="2"/>
        <v/>
      </c>
      <c r="J20" s="28"/>
    </row>
    <row r="21" spans="2:10" x14ac:dyDescent="0.2">
      <c r="B21" s="28"/>
      <c r="C21" s="31" t="s">
        <v>35</v>
      </c>
      <c r="D21" s="21" t="s">
        <v>35</v>
      </c>
      <c r="E21" s="305">
        <f>188186/100</f>
        <v>1881.86</v>
      </c>
      <c r="F21" s="29" t="str">
        <f>IF('Dateneingabe (HIER BEFÜLLEN!)'!$E$25=D21,D21,"")</f>
        <v/>
      </c>
      <c r="G21" s="29" t="str">
        <f t="shared" si="1"/>
        <v/>
      </c>
      <c r="H21" s="29">
        <v>4077937</v>
      </c>
      <c r="I21" s="40" t="str">
        <f t="shared" si="2"/>
        <v/>
      </c>
      <c r="J21" s="28"/>
    </row>
    <row r="22" spans="2:10" x14ac:dyDescent="0.2">
      <c r="B22" s="28"/>
      <c r="C22" s="31" t="s">
        <v>39</v>
      </c>
      <c r="D22" s="21" t="s">
        <v>74</v>
      </c>
      <c r="E22" s="305">
        <f>156399/100</f>
        <v>1563.99</v>
      </c>
      <c r="F22" s="29" t="str">
        <f>IF('Dateneingabe (HIER BEFÜLLEN!)'!$E$25=D22,D22,"")</f>
        <v/>
      </c>
      <c r="G22" s="29" t="str">
        <f t="shared" si="1"/>
        <v/>
      </c>
      <c r="H22" s="29">
        <v>2208321</v>
      </c>
      <c r="I22" s="40" t="str">
        <f t="shared" si="2"/>
        <v/>
      </c>
      <c r="J22" s="28"/>
    </row>
    <row r="23" spans="2:10" x14ac:dyDescent="0.2">
      <c r="B23" s="28"/>
      <c r="C23" s="31" t="s">
        <v>43</v>
      </c>
      <c r="D23" s="21" t="s">
        <v>75</v>
      </c>
      <c r="E23" s="305">
        <f>142436/100</f>
        <v>1424.36</v>
      </c>
      <c r="F23" s="29" t="str">
        <f>IF('Dateneingabe (HIER BEFÜLLEN!)'!$E$25=D23,D23,"")</f>
        <v/>
      </c>
      <c r="G23" s="29" t="str">
        <f t="shared" si="1"/>
        <v/>
      </c>
      <c r="H23" s="29">
        <v>2896712</v>
      </c>
      <c r="I23" s="40" t="str">
        <f t="shared" si="2"/>
        <v/>
      </c>
      <c r="J23" s="28"/>
    </row>
    <row r="24" spans="2:10" x14ac:dyDescent="0.2">
      <c r="B24" s="28"/>
      <c r="C24" s="31" t="s">
        <v>38</v>
      </c>
      <c r="D24" s="21" t="s">
        <v>38</v>
      </c>
      <c r="E24" s="306">
        <f>123777/100</f>
        <v>1237.77</v>
      </c>
      <c r="F24" s="29" t="str">
        <f>IF('Dateneingabe (HIER BEFÜLLEN!)'!$E$25=D24,D24,"")</f>
        <v/>
      </c>
      <c r="G24" s="29" t="str">
        <f t="shared" si="1"/>
        <v/>
      </c>
      <c r="H24" s="29">
        <v>2143145</v>
      </c>
      <c r="I24" s="40" t="str">
        <f t="shared" si="2"/>
        <v/>
      </c>
      <c r="J24" s="28"/>
    </row>
    <row r="25" spans="2:10" x14ac:dyDescent="0.2">
      <c r="B25" s="28"/>
      <c r="C25" s="30"/>
      <c r="D25" s="30"/>
      <c r="E25" s="177">
        <f>SUM(E9:E24)</f>
        <v>33267.97</v>
      </c>
      <c r="F25" s="43"/>
      <c r="G25" s="37">
        <f>SUM(G8:G24)</f>
        <v>5658</v>
      </c>
      <c r="H25" s="37">
        <f>SUM(H9:H24)</f>
        <v>83019213</v>
      </c>
      <c r="I25" s="37">
        <f>SUM(I8:I24)</f>
        <v>17932651</v>
      </c>
      <c r="J25" s="28"/>
    </row>
    <row r="26" spans="2:10" x14ac:dyDescent="0.2">
      <c r="B26" s="28"/>
      <c r="C26" s="28"/>
      <c r="D26" s="28"/>
      <c r="E26" s="28"/>
      <c r="F26" s="28"/>
      <c r="G26" s="28"/>
      <c r="H26" s="21"/>
      <c r="I26" s="28"/>
      <c r="J26" s="28"/>
    </row>
  </sheetData>
  <sheetProtection algorithmName="SHA-512" hashValue="2Z4eF3OqpRUSOFjvjnKVXBkbhGlkcNN32TBOrPSk+ha2yBQKzUC9Qul+w9HFcA2UA6+XYOKVhpZrZhs9A+x3kw==" saltValue="C8zs/DBzQRro96dwPtG3Fg==" spinCount="100000" sheet="1" objects="1" scenarios="1"/>
  <mergeCells count="3">
    <mergeCell ref="C4:D4"/>
    <mergeCell ref="H5:I5"/>
    <mergeCell ref="F4:I4"/>
  </mergeCells>
  <hyperlinks>
    <hyperlink ref="E4" r:id="rId1" location="sprg239478" display="Quelle: Destatis" xr:uid="{00000000-0004-0000-0500-000000000000}"/>
    <hyperlink ref="I7" r:id="rId2" xr:uid="{00000000-0004-0000-0500-000001000000}"/>
    <hyperlink ref="H7" r:id="rId3" xr:uid="{00000000-0004-0000-0500-000002000000}"/>
  </hyperlinks>
  <pageMargins left="0.7" right="0.7" top="0.78740157499999996" bottom="0.78740157499999996" header="0.3" footer="0.3"/>
  <pageSetup paperSize="9" orientation="portrait" horizontalDpi="1200" verticalDpi="1200" r:id="rId4"/>
  <ignoredErrors>
    <ignoredError sqref="H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C2:N48"/>
  <sheetViews>
    <sheetView showGridLines="0" showRowColHeaders="0" workbookViewId="0">
      <selection activeCell="G28" sqref="G28"/>
    </sheetView>
  </sheetViews>
  <sheetFormatPr baseColWidth="10" defaultColWidth="11.42578125" defaultRowHeight="12.75" x14ac:dyDescent="0.2"/>
  <cols>
    <col min="1" max="2" width="1.7109375" style="28" customWidth="1"/>
    <col min="3" max="3" width="11.28515625" style="258" bestFit="1" customWidth="1"/>
    <col min="4" max="4" width="1.7109375" style="28" customWidth="1"/>
    <col min="5" max="5" width="3" style="236" bestFit="1" customWidth="1"/>
    <col min="6" max="6" width="1.5703125" style="237" bestFit="1" customWidth="1"/>
    <col min="7" max="7" width="11.140625" style="238" bestFit="1" customWidth="1"/>
    <col min="8" max="8" width="1.7109375" style="248" customWidth="1"/>
    <col min="9" max="9" width="2" style="248" bestFit="1" customWidth="1"/>
    <col min="10" max="10" width="1.5703125" style="248" bestFit="1" customWidth="1"/>
    <col min="11" max="11" width="15.7109375" style="249" customWidth="1"/>
    <col min="12" max="12" width="2" style="175" bestFit="1" customWidth="1"/>
    <col min="13" max="13" width="8.42578125" style="175" bestFit="1" customWidth="1"/>
    <col min="14" max="14" width="12" style="239" bestFit="1" customWidth="1"/>
    <col min="15" max="15" width="1.7109375" style="28" customWidth="1"/>
    <col min="16" max="16384" width="11.42578125" style="28"/>
  </cols>
  <sheetData>
    <row r="2" spans="3:14" ht="15.75" x14ac:dyDescent="0.25">
      <c r="C2" s="341" t="s">
        <v>168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3:14" ht="15.75" x14ac:dyDescent="0.25">
      <c r="C3" s="338" t="s">
        <v>165</v>
      </c>
      <c r="D3" s="339"/>
      <c r="E3" s="339"/>
      <c r="F3" s="339"/>
      <c r="G3" s="339"/>
      <c r="H3" s="338" t="s">
        <v>166</v>
      </c>
      <c r="I3" s="339"/>
      <c r="J3" s="339"/>
      <c r="K3" s="339"/>
      <c r="L3" s="339"/>
      <c r="M3" s="339"/>
      <c r="N3" s="340"/>
    </row>
    <row r="4" spans="3:14" x14ac:dyDescent="0.2">
      <c r="C4" s="356" t="s">
        <v>164</v>
      </c>
      <c r="D4" s="357"/>
      <c r="E4" s="357"/>
      <c r="F4" s="357"/>
      <c r="G4" s="357"/>
      <c r="H4" s="344" t="s">
        <v>167</v>
      </c>
      <c r="I4" s="345"/>
      <c r="J4" s="345"/>
      <c r="K4" s="345"/>
      <c r="L4" s="345"/>
      <c r="M4" s="345"/>
      <c r="N4" s="346"/>
    </row>
    <row r="5" spans="3:14" x14ac:dyDescent="0.2">
      <c r="C5" s="353" t="s">
        <v>163</v>
      </c>
      <c r="D5" s="354"/>
      <c r="E5" s="354"/>
      <c r="F5" s="354"/>
      <c r="G5" s="355"/>
      <c r="H5" s="347" t="s">
        <v>163</v>
      </c>
      <c r="I5" s="348"/>
      <c r="J5" s="348"/>
      <c r="K5" s="349"/>
      <c r="L5" s="350" t="s">
        <v>162</v>
      </c>
      <c r="M5" s="351"/>
      <c r="N5" s="352"/>
    </row>
    <row r="6" spans="3:14" x14ac:dyDescent="0.2">
      <c r="C6" s="287">
        <f>1/G6</f>
        <v>0.1</v>
      </c>
      <c r="D6" s="256" t="s">
        <v>1</v>
      </c>
      <c r="E6" s="261">
        <v>1</v>
      </c>
      <c r="F6" s="253" t="s">
        <v>0</v>
      </c>
      <c r="G6" s="259">
        <v>10</v>
      </c>
      <c r="H6" s="244"/>
      <c r="I6" s="244"/>
      <c r="J6" s="244"/>
      <c r="K6" s="245"/>
      <c r="L6" s="240"/>
      <c r="M6" s="240"/>
      <c r="N6" s="241"/>
    </row>
    <row r="7" spans="3:14" x14ac:dyDescent="0.2">
      <c r="C7" s="288">
        <f t="shared" ref="C7:C47" si="0">1/G7</f>
        <v>0.05</v>
      </c>
      <c r="D7" s="257" t="s">
        <v>1</v>
      </c>
      <c r="E7" s="262">
        <v>1</v>
      </c>
      <c r="F7" s="254" t="s">
        <v>0</v>
      </c>
      <c r="G7" s="260">
        <v>20</v>
      </c>
      <c r="H7" s="246"/>
      <c r="I7" s="246"/>
      <c r="J7" s="246"/>
      <c r="K7" s="247"/>
      <c r="L7" s="242"/>
      <c r="M7" s="242"/>
      <c r="N7" s="243"/>
    </row>
    <row r="8" spans="3:14" x14ac:dyDescent="0.2">
      <c r="C8" s="288">
        <f t="shared" si="0"/>
        <v>2.5000000000000001E-2</v>
      </c>
      <c r="D8" s="257" t="s">
        <v>1</v>
      </c>
      <c r="E8" s="262">
        <v>1</v>
      </c>
      <c r="F8" s="254" t="s">
        <v>0</v>
      </c>
      <c r="G8" s="260">
        <v>40</v>
      </c>
      <c r="H8" s="246"/>
      <c r="I8" s="246"/>
      <c r="J8" s="246"/>
      <c r="K8" s="247"/>
      <c r="L8" s="242"/>
      <c r="M8" s="242"/>
      <c r="N8" s="243"/>
    </row>
    <row r="9" spans="3:14" x14ac:dyDescent="0.2">
      <c r="C9" s="288">
        <f t="shared" si="0"/>
        <v>1.6666666666666666E-2</v>
      </c>
      <c r="D9" s="257" t="s">
        <v>1</v>
      </c>
      <c r="E9" s="262">
        <v>1</v>
      </c>
      <c r="F9" s="254" t="s">
        <v>0</v>
      </c>
      <c r="G9" s="260">
        <v>60</v>
      </c>
      <c r="H9" s="246"/>
      <c r="I9" s="246"/>
      <c r="J9" s="246"/>
      <c r="K9" s="247"/>
      <c r="L9" s="242"/>
      <c r="M9" s="242"/>
      <c r="N9" s="243"/>
    </row>
    <row r="10" spans="3:14" x14ac:dyDescent="0.2">
      <c r="C10" s="284"/>
      <c r="D10" s="300"/>
      <c r="E10" s="265"/>
      <c r="F10" s="266"/>
      <c r="G10" s="267"/>
      <c r="H10" s="293"/>
      <c r="I10" s="294">
        <v>1</v>
      </c>
      <c r="J10" s="295" t="s">
        <v>0</v>
      </c>
      <c r="K10" s="296">
        <v>63</v>
      </c>
      <c r="L10" s="297">
        <v>3</v>
      </c>
      <c r="M10" s="297" t="s">
        <v>160</v>
      </c>
      <c r="N10" s="299"/>
    </row>
    <row r="11" spans="3:14" x14ac:dyDescent="0.2">
      <c r="C11" s="288">
        <f t="shared" si="0"/>
        <v>1.2500000000000001E-2</v>
      </c>
      <c r="D11" s="257" t="s">
        <v>1</v>
      </c>
      <c r="E11" s="262">
        <v>1</v>
      </c>
      <c r="F11" s="254" t="s">
        <v>0</v>
      </c>
      <c r="G11" s="260">
        <v>80</v>
      </c>
      <c r="H11" s="250"/>
      <c r="I11" s="250"/>
      <c r="J11" s="250"/>
      <c r="K11" s="255"/>
      <c r="L11" s="251"/>
      <c r="M11" s="251"/>
      <c r="N11" s="252"/>
    </row>
    <row r="12" spans="3:14" x14ac:dyDescent="0.2">
      <c r="C12" s="285"/>
      <c r="D12" s="300"/>
      <c r="E12" s="265"/>
      <c r="F12" s="266"/>
      <c r="G12" s="267"/>
      <c r="H12" s="293"/>
      <c r="I12" s="294">
        <v>1</v>
      </c>
      <c r="J12" s="295" t="s">
        <v>0</v>
      </c>
      <c r="K12" s="296">
        <v>76</v>
      </c>
      <c r="L12" s="297">
        <v>2</v>
      </c>
      <c r="M12" s="297" t="s">
        <v>160</v>
      </c>
      <c r="N12" s="299" t="s">
        <v>161</v>
      </c>
    </row>
    <row r="13" spans="3:14" x14ac:dyDescent="0.2">
      <c r="C13" s="288">
        <f t="shared" si="0"/>
        <v>0.01</v>
      </c>
      <c r="D13" s="257" t="s">
        <v>1</v>
      </c>
      <c r="E13" s="262">
        <v>1</v>
      </c>
      <c r="F13" s="254" t="s">
        <v>0</v>
      </c>
      <c r="G13" s="260">
        <v>100</v>
      </c>
      <c r="H13" s="250"/>
      <c r="I13" s="250"/>
      <c r="J13" s="250"/>
      <c r="K13" s="255"/>
      <c r="L13" s="251"/>
      <c r="M13" s="251"/>
      <c r="N13" s="252"/>
    </row>
    <row r="14" spans="3:14" x14ac:dyDescent="0.2">
      <c r="C14" s="288">
        <f t="shared" si="0"/>
        <v>5.0000000000000001E-3</v>
      </c>
      <c r="D14" s="257" t="s">
        <v>1</v>
      </c>
      <c r="E14" s="262">
        <v>1</v>
      </c>
      <c r="F14" s="254" t="s">
        <v>0</v>
      </c>
      <c r="G14" s="260">
        <v>200</v>
      </c>
      <c r="H14" s="250"/>
      <c r="I14" s="250"/>
      <c r="J14" s="250"/>
      <c r="K14" s="255"/>
      <c r="L14" s="251"/>
      <c r="M14" s="251"/>
      <c r="N14" s="252"/>
    </row>
    <row r="15" spans="3:14" x14ac:dyDescent="0.2">
      <c r="C15" s="288">
        <f t="shared" si="0"/>
        <v>2.5000000000000001E-3</v>
      </c>
      <c r="D15" s="257" t="s">
        <v>1</v>
      </c>
      <c r="E15" s="262">
        <v>1</v>
      </c>
      <c r="F15" s="254" t="s">
        <v>0</v>
      </c>
      <c r="G15" s="260">
        <v>400</v>
      </c>
      <c r="H15" s="250"/>
      <c r="I15" s="250"/>
      <c r="J15" s="250"/>
      <c r="K15" s="255"/>
      <c r="L15" s="251"/>
      <c r="M15" s="251"/>
      <c r="N15" s="252"/>
    </row>
    <row r="16" spans="3:14" x14ac:dyDescent="0.2">
      <c r="C16" s="281"/>
      <c r="D16" s="300"/>
      <c r="E16" s="265"/>
      <c r="F16" s="266"/>
      <c r="G16" s="267"/>
      <c r="H16" s="293"/>
      <c r="I16" s="294">
        <v>1</v>
      </c>
      <c r="J16" s="295" t="s">
        <v>0</v>
      </c>
      <c r="K16" s="296">
        <v>567</v>
      </c>
      <c r="L16" s="297">
        <v>3</v>
      </c>
      <c r="M16" s="297" t="s">
        <v>160</v>
      </c>
      <c r="N16" s="299" t="s">
        <v>161</v>
      </c>
    </row>
    <row r="17" spans="3:14" x14ac:dyDescent="0.2">
      <c r="C17" s="289">
        <f t="shared" si="0"/>
        <v>1.6666666666666668E-3</v>
      </c>
      <c r="D17" s="257" t="s">
        <v>1</v>
      </c>
      <c r="E17" s="262">
        <v>1</v>
      </c>
      <c r="F17" s="254" t="s">
        <v>0</v>
      </c>
      <c r="G17" s="260">
        <v>600</v>
      </c>
      <c r="H17" s="250"/>
      <c r="I17" s="250"/>
      <c r="J17" s="250"/>
      <c r="K17" s="255"/>
      <c r="L17" s="251"/>
      <c r="M17" s="251"/>
      <c r="N17" s="252"/>
    </row>
    <row r="18" spans="3:14" x14ac:dyDescent="0.2">
      <c r="C18" s="289">
        <f t="shared" si="0"/>
        <v>1.25E-3</v>
      </c>
      <c r="D18" s="257" t="s">
        <v>1</v>
      </c>
      <c r="E18" s="262">
        <v>1</v>
      </c>
      <c r="F18" s="254" t="s">
        <v>0</v>
      </c>
      <c r="G18" s="260">
        <v>800</v>
      </c>
      <c r="H18" s="250"/>
      <c r="I18" s="250"/>
      <c r="J18" s="250"/>
      <c r="K18" s="255"/>
      <c r="L18" s="251"/>
      <c r="M18" s="251"/>
      <c r="N18" s="252"/>
    </row>
    <row r="19" spans="3:14" x14ac:dyDescent="0.2">
      <c r="C19" s="289">
        <f t="shared" si="0"/>
        <v>1E-3</v>
      </c>
      <c r="D19" s="145" t="s">
        <v>1</v>
      </c>
      <c r="E19" s="262">
        <v>1</v>
      </c>
      <c r="F19" s="254" t="s">
        <v>0</v>
      </c>
      <c r="G19" s="260">
        <v>1000</v>
      </c>
      <c r="H19" s="250"/>
      <c r="I19" s="250"/>
      <c r="J19" s="250"/>
      <c r="K19" s="255"/>
      <c r="L19" s="251"/>
      <c r="M19" s="251"/>
      <c r="N19" s="252"/>
    </row>
    <row r="20" spans="3:14" x14ac:dyDescent="0.2">
      <c r="C20" s="302"/>
      <c r="D20" s="301"/>
      <c r="E20" s="265"/>
      <c r="F20" s="266"/>
      <c r="G20" s="267"/>
      <c r="H20" s="293"/>
      <c r="I20" s="294">
        <v>1</v>
      </c>
      <c r="J20" s="295" t="s">
        <v>0</v>
      </c>
      <c r="K20" s="296">
        <v>1147</v>
      </c>
      <c r="L20" s="297">
        <v>4</v>
      </c>
      <c r="M20" s="297" t="s">
        <v>160</v>
      </c>
      <c r="N20" s="299"/>
    </row>
    <row r="21" spans="3:14" x14ac:dyDescent="0.2">
      <c r="C21" s="289">
        <f t="shared" si="0"/>
        <v>5.0000000000000001E-4</v>
      </c>
      <c r="D21" s="145" t="s">
        <v>1</v>
      </c>
      <c r="E21" s="262">
        <v>1</v>
      </c>
      <c r="F21" s="254" t="s">
        <v>0</v>
      </c>
      <c r="G21" s="260">
        <v>2000</v>
      </c>
      <c r="H21" s="250"/>
      <c r="I21" s="250"/>
      <c r="J21" s="250"/>
      <c r="K21" s="255"/>
      <c r="L21" s="251"/>
      <c r="M21" s="251"/>
      <c r="N21" s="252"/>
    </row>
    <row r="22" spans="3:14" x14ac:dyDescent="0.2">
      <c r="C22" s="289">
        <f t="shared" si="0"/>
        <v>2.5000000000000001E-4</v>
      </c>
      <c r="D22" s="145" t="s">
        <v>1</v>
      </c>
      <c r="E22" s="262">
        <v>1</v>
      </c>
      <c r="F22" s="254" t="s">
        <v>0</v>
      </c>
      <c r="G22" s="260">
        <v>4000</v>
      </c>
      <c r="H22" s="250"/>
      <c r="I22" s="250"/>
      <c r="J22" s="250"/>
      <c r="K22" s="255"/>
      <c r="L22" s="251"/>
      <c r="M22" s="251"/>
      <c r="N22" s="252"/>
    </row>
    <row r="23" spans="3:14" x14ac:dyDescent="0.2">
      <c r="C23" s="290">
        <f t="shared" si="0"/>
        <v>1.6666666666666666E-4</v>
      </c>
      <c r="D23" s="145" t="s">
        <v>1</v>
      </c>
      <c r="E23" s="262">
        <v>1</v>
      </c>
      <c r="F23" s="254" t="s">
        <v>0</v>
      </c>
      <c r="G23" s="260">
        <v>6000</v>
      </c>
      <c r="H23" s="250"/>
      <c r="I23" s="250"/>
      <c r="J23" s="250"/>
      <c r="K23" s="255"/>
      <c r="L23" s="251"/>
      <c r="M23" s="251"/>
      <c r="N23" s="252"/>
    </row>
    <row r="24" spans="3:14" x14ac:dyDescent="0.2">
      <c r="C24" s="290">
        <f t="shared" si="0"/>
        <v>1.25E-4</v>
      </c>
      <c r="D24" s="145" t="s">
        <v>1</v>
      </c>
      <c r="E24" s="262">
        <v>1</v>
      </c>
      <c r="F24" s="254" t="s">
        <v>0</v>
      </c>
      <c r="G24" s="260">
        <v>8000</v>
      </c>
      <c r="H24" s="250"/>
      <c r="I24" s="250"/>
      <c r="J24" s="250"/>
      <c r="K24" s="255"/>
      <c r="L24" s="251"/>
      <c r="M24" s="251"/>
      <c r="N24" s="252"/>
    </row>
    <row r="25" spans="3:14" x14ac:dyDescent="0.2">
      <c r="C25" s="290">
        <f t="shared" si="0"/>
        <v>1E-4</v>
      </c>
      <c r="D25" s="145" t="s">
        <v>1</v>
      </c>
      <c r="E25" s="262">
        <v>1</v>
      </c>
      <c r="F25" s="254" t="s">
        <v>0</v>
      </c>
      <c r="G25" s="260">
        <v>10000</v>
      </c>
      <c r="H25" s="250"/>
      <c r="I25" s="250"/>
      <c r="J25" s="250"/>
      <c r="K25" s="255"/>
      <c r="L25" s="251"/>
      <c r="M25" s="251"/>
      <c r="N25" s="252"/>
    </row>
    <row r="26" spans="3:14" x14ac:dyDescent="0.2">
      <c r="C26" s="282"/>
      <c r="D26" s="301"/>
      <c r="E26" s="265"/>
      <c r="F26" s="266"/>
      <c r="G26" s="267"/>
      <c r="H26" s="293"/>
      <c r="I26" s="294">
        <v>1</v>
      </c>
      <c r="J26" s="295" t="s">
        <v>0</v>
      </c>
      <c r="K26" s="296">
        <v>10324</v>
      </c>
      <c r="L26" s="297">
        <v>4</v>
      </c>
      <c r="M26" s="297" t="s">
        <v>160</v>
      </c>
      <c r="N26" s="299" t="s">
        <v>161</v>
      </c>
    </row>
    <row r="27" spans="3:14" x14ac:dyDescent="0.2">
      <c r="C27" s="290">
        <f t="shared" si="0"/>
        <v>5.0000000000000002E-5</v>
      </c>
      <c r="D27" s="145" t="s">
        <v>1</v>
      </c>
      <c r="E27" s="262">
        <v>1</v>
      </c>
      <c r="F27" s="254" t="s">
        <v>0</v>
      </c>
      <c r="G27" s="260">
        <v>20000</v>
      </c>
      <c r="H27" s="250"/>
      <c r="I27" s="250"/>
      <c r="J27" s="250"/>
      <c r="K27" s="255"/>
      <c r="L27" s="251"/>
      <c r="M27" s="251"/>
      <c r="N27" s="252"/>
    </row>
    <row r="28" spans="3:14" x14ac:dyDescent="0.2">
      <c r="C28" s="290">
        <f t="shared" si="0"/>
        <v>2.5000000000000001E-5</v>
      </c>
      <c r="D28" s="145" t="s">
        <v>1</v>
      </c>
      <c r="E28" s="262">
        <v>1</v>
      </c>
      <c r="F28" s="254" t="s">
        <v>0</v>
      </c>
      <c r="G28" s="260">
        <v>40000</v>
      </c>
      <c r="H28" s="250"/>
      <c r="I28" s="250"/>
      <c r="J28" s="250"/>
      <c r="K28" s="255"/>
      <c r="L28" s="251"/>
      <c r="M28" s="251"/>
      <c r="N28" s="252"/>
    </row>
    <row r="29" spans="3:14" x14ac:dyDescent="0.2">
      <c r="C29" s="291">
        <f t="shared" si="0"/>
        <v>1.6666666666666667E-5</v>
      </c>
      <c r="D29" s="145" t="s">
        <v>1</v>
      </c>
      <c r="E29" s="262">
        <v>1</v>
      </c>
      <c r="F29" s="254" t="s">
        <v>0</v>
      </c>
      <c r="G29" s="260">
        <v>60000</v>
      </c>
      <c r="H29" s="250"/>
      <c r="I29" s="250"/>
      <c r="J29" s="250"/>
      <c r="K29" s="255"/>
      <c r="L29" s="251"/>
      <c r="M29" s="251"/>
      <c r="N29" s="252"/>
    </row>
    <row r="30" spans="3:14" x14ac:dyDescent="0.2">
      <c r="C30" s="282"/>
      <c r="D30" s="301"/>
      <c r="E30" s="265"/>
      <c r="F30" s="266"/>
      <c r="G30" s="267"/>
      <c r="H30" s="293"/>
      <c r="I30" s="294">
        <v>1</v>
      </c>
      <c r="J30" s="295" t="s">
        <v>0</v>
      </c>
      <c r="K30" s="296">
        <v>60223</v>
      </c>
      <c r="L30" s="297">
        <v>5</v>
      </c>
      <c r="M30" s="297" t="s">
        <v>160</v>
      </c>
      <c r="N30" s="299"/>
    </row>
    <row r="31" spans="3:14" x14ac:dyDescent="0.2">
      <c r="C31" s="291">
        <f t="shared" si="0"/>
        <v>1.2500000000000001E-5</v>
      </c>
      <c r="D31" s="145" t="s">
        <v>1</v>
      </c>
      <c r="E31" s="262">
        <v>1</v>
      </c>
      <c r="F31" s="254" t="s">
        <v>0</v>
      </c>
      <c r="G31" s="260">
        <v>80000</v>
      </c>
      <c r="H31" s="250"/>
      <c r="I31" s="250"/>
      <c r="J31" s="250"/>
      <c r="K31" s="255"/>
      <c r="L31" s="251"/>
      <c r="M31" s="251"/>
      <c r="N31" s="252"/>
    </row>
    <row r="32" spans="3:14" x14ac:dyDescent="0.2">
      <c r="C32" s="291">
        <f t="shared" si="0"/>
        <v>1.0000000000000001E-5</v>
      </c>
      <c r="D32" s="145" t="s">
        <v>1</v>
      </c>
      <c r="E32" s="262">
        <v>1</v>
      </c>
      <c r="F32" s="254" t="s">
        <v>0</v>
      </c>
      <c r="G32" s="260">
        <v>100000</v>
      </c>
      <c r="H32" s="250"/>
      <c r="I32" s="250"/>
      <c r="J32" s="250"/>
      <c r="K32" s="255"/>
      <c r="L32" s="251"/>
      <c r="M32" s="251"/>
      <c r="N32" s="252"/>
    </row>
    <row r="33" spans="3:14" x14ac:dyDescent="0.2">
      <c r="C33" s="291">
        <f t="shared" si="0"/>
        <v>5.0000000000000004E-6</v>
      </c>
      <c r="D33" s="145" t="s">
        <v>1</v>
      </c>
      <c r="E33" s="262">
        <v>1</v>
      </c>
      <c r="F33" s="254" t="s">
        <v>0</v>
      </c>
      <c r="G33" s="260">
        <v>200000</v>
      </c>
      <c r="H33" s="250"/>
      <c r="I33" s="250"/>
      <c r="J33" s="250"/>
      <c r="K33" s="255"/>
      <c r="L33" s="251"/>
      <c r="M33" s="251"/>
      <c r="N33" s="252"/>
    </row>
    <row r="34" spans="3:14" x14ac:dyDescent="0.2">
      <c r="C34" s="291">
        <f t="shared" si="0"/>
        <v>2.5000000000000002E-6</v>
      </c>
      <c r="D34" s="145" t="s">
        <v>1</v>
      </c>
      <c r="E34" s="262">
        <v>1</v>
      </c>
      <c r="F34" s="254" t="s">
        <v>0</v>
      </c>
      <c r="G34" s="260">
        <v>400000</v>
      </c>
      <c r="H34" s="250"/>
      <c r="I34" s="250"/>
      <c r="J34" s="250"/>
      <c r="K34" s="255"/>
      <c r="L34" s="251"/>
      <c r="M34" s="251"/>
      <c r="N34" s="252"/>
    </row>
    <row r="35" spans="3:14" x14ac:dyDescent="0.2">
      <c r="C35" s="281"/>
      <c r="D35" s="301"/>
      <c r="E35" s="265"/>
      <c r="F35" s="266"/>
      <c r="G35" s="267"/>
      <c r="H35" s="293"/>
      <c r="I35" s="294">
        <v>1</v>
      </c>
      <c r="J35" s="295" t="s">
        <v>0</v>
      </c>
      <c r="K35" s="296">
        <v>542008</v>
      </c>
      <c r="L35" s="297">
        <v>5</v>
      </c>
      <c r="M35" s="297" t="s">
        <v>160</v>
      </c>
      <c r="N35" s="299" t="s">
        <v>161</v>
      </c>
    </row>
    <row r="36" spans="3:14" x14ac:dyDescent="0.2">
      <c r="C36" s="280">
        <f t="shared" si="0"/>
        <v>1.2500000000000001E-6</v>
      </c>
      <c r="D36" s="21" t="s">
        <v>1</v>
      </c>
      <c r="E36" s="262">
        <v>1</v>
      </c>
      <c r="F36" s="254" t="s">
        <v>0</v>
      </c>
      <c r="G36" s="260">
        <v>800000</v>
      </c>
      <c r="H36" s="250"/>
      <c r="I36" s="250"/>
      <c r="J36" s="250"/>
      <c r="K36" s="255"/>
      <c r="L36" s="251"/>
      <c r="M36" s="251"/>
      <c r="N36" s="252"/>
    </row>
    <row r="37" spans="3:14" x14ac:dyDescent="0.2">
      <c r="C37" s="283">
        <f t="shared" si="0"/>
        <v>9.9999999999999995E-7</v>
      </c>
      <c r="D37" s="21" t="s">
        <v>1</v>
      </c>
      <c r="E37" s="262">
        <v>1</v>
      </c>
      <c r="F37" s="254" t="s">
        <v>0</v>
      </c>
      <c r="G37" s="260">
        <v>1000000</v>
      </c>
      <c r="H37" s="250"/>
      <c r="I37" s="250"/>
      <c r="J37" s="250"/>
      <c r="K37" s="255"/>
      <c r="L37" s="251"/>
      <c r="M37" s="251"/>
      <c r="N37" s="252"/>
    </row>
    <row r="38" spans="3:14" x14ac:dyDescent="0.2">
      <c r="C38" s="283">
        <f t="shared" si="0"/>
        <v>4.9999999999999998E-7</v>
      </c>
      <c r="D38" s="21" t="s">
        <v>1</v>
      </c>
      <c r="E38" s="262">
        <v>1</v>
      </c>
      <c r="F38" s="254" t="s">
        <v>0</v>
      </c>
      <c r="G38" s="260">
        <v>2000000</v>
      </c>
      <c r="H38" s="250"/>
      <c r="I38" s="250"/>
      <c r="J38" s="250"/>
      <c r="K38" s="255"/>
      <c r="L38" s="251"/>
      <c r="M38" s="251"/>
      <c r="N38" s="252"/>
    </row>
    <row r="39" spans="3:14" x14ac:dyDescent="0.2">
      <c r="C39" s="283">
        <f t="shared" si="0"/>
        <v>2.4999999999999999E-7</v>
      </c>
      <c r="D39" s="21" t="s">
        <v>1</v>
      </c>
      <c r="E39" s="262">
        <v>1</v>
      </c>
      <c r="F39" s="254" t="s">
        <v>0</v>
      </c>
      <c r="G39" s="260">
        <v>4000000</v>
      </c>
      <c r="H39" s="250"/>
      <c r="I39" s="250"/>
      <c r="J39" s="250"/>
      <c r="K39" s="255"/>
      <c r="L39" s="251"/>
      <c r="M39" s="251"/>
      <c r="N39" s="252"/>
    </row>
    <row r="40" spans="3:14" x14ac:dyDescent="0.2">
      <c r="C40" s="283">
        <f t="shared" si="0"/>
        <v>1.2499999999999999E-7</v>
      </c>
      <c r="D40" s="21" t="s">
        <v>1</v>
      </c>
      <c r="E40" s="262">
        <v>1</v>
      </c>
      <c r="F40" s="254" t="s">
        <v>0</v>
      </c>
      <c r="G40" s="260">
        <v>8000000</v>
      </c>
      <c r="H40" s="250"/>
      <c r="I40" s="250"/>
      <c r="J40" s="250"/>
      <c r="K40" s="255"/>
      <c r="L40" s="251"/>
      <c r="M40" s="251"/>
      <c r="N40" s="252"/>
    </row>
    <row r="41" spans="3:14" x14ac:dyDescent="0.2">
      <c r="C41" s="283">
        <f t="shared" si="0"/>
        <v>9.9999999999999995E-8</v>
      </c>
      <c r="D41" s="21" t="s">
        <v>1</v>
      </c>
      <c r="E41" s="262">
        <v>1</v>
      </c>
      <c r="F41" s="254" t="s">
        <v>0</v>
      </c>
      <c r="G41" s="260">
        <v>10000000</v>
      </c>
      <c r="H41" s="250"/>
      <c r="I41" s="250"/>
      <c r="J41" s="250"/>
      <c r="K41" s="255"/>
      <c r="L41" s="251"/>
      <c r="M41" s="251"/>
      <c r="N41" s="252"/>
    </row>
    <row r="42" spans="3:14" x14ac:dyDescent="0.2">
      <c r="C42" s="277"/>
      <c r="D42" s="301"/>
      <c r="E42" s="265"/>
      <c r="F42" s="266"/>
      <c r="G42" s="267"/>
      <c r="H42" s="298"/>
      <c r="I42" s="294">
        <v>1</v>
      </c>
      <c r="J42" s="295" t="s">
        <v>0</v>
      </c>
      <c r="K42" s="296">
        <v>15537573</v>
      </c>
      <c r="L42" s="297">
        <v>6</v>
      </c>
      <c r="M42" s="297" t="s">
        <v>160</v>
      </c>
      <c r="N42" s="299"/>
    </row>
    <row r="43" spans="3:14" x14ac:dyDescent="0.2">
      <c r="C43" s="279">
        <f t="shared" si="0"/>
        <v>4.9999999999999998E-8</v>
      </c>
      <c r="D43" s="21" t="s">
        <v>1</v>
      </c>
      <c r="E43" s="262">
        <v>1</v>
      </c>
      <c r="F43" s="254" t="s">
        <v>0</v>
      </c>
      <c r="G43" s="260">
        <v>20000000</v>
      </c>
      <c r="H43" s="250"/>
      <c r="I43" s="250"/>
      <c r="J43" s="250"/>
      <c r="K43" s="255"/>
      <c r="L43" s="251"/>
      <c r="M43" s="251"/>
      <c r="N43" s="252"/>
    </row>
    <row r="44" spans="3:14" x14ac:dyDescent="0.2">
      <c r="C44" s="279">
        <f t="shared" si="0"/>
        <v>2.4999999999999999E-8</v>
      </c>
      <c r="D44" s="21" t="s">
        <v>1</v>
      </c>
      <c r="E44" s="262">
        <v>1</v>
      </c>
      <c r="F44" s="254" t="s">
        <v>0</v>
      </c>
      <c r="G44" s="260">
        <v>40000000</v>
      </c>
      <c r="H44" s="250"/>
      <c r="I44" s="250"/>
      <c r="J44" s="250"/>
      <c r="K44" s="255"/>
      <c r="L44" s="251"/>
      <c r="M44" s="251"/>
      <c r="N44" s="252"/>
    </row>
    <row r="45" spans="3:14" x14ac:dyDescent="0.2">
      <c r="C45" s="279">
        <f t="shared" si="0"/>
        <v>1.6666666666666667E-8</v>
      </c>
      <c r="D45" s="21" t="s">
        <v>1</v>
      </c>
      <c r="E45" s="262">
        <v>1</v>
      </c>
      <c r="F45" s="254" t="s">
        <v>0</v>
      </c>
      <c r="G45" s="260">
        <v>60000000</v>
      </c>
      <c r="H45" s="250"/>
      <c r="I45" s="250"/>
      <c r="J45" s="250"/>
      <c r="K45" s="255"/>
      <c r="L45" s="251"/>
      <c r="M45" s="251"/>
      <c r="N45" s="252"/>
    </row>
    <row r="46" spans="3:14" x14ac:dyDescent="0.2">
      <c r="C46" s="279">
        <f t="shared" si="0"/>
        <v>1.2499999999999999E-8</v>
      </c>
      <c r="D46" s="21" t="s">
        <v>1</v>
      </c>
      <c r="E46" s="262">
        <v>1</v>
      </c>
      <c r="F46" s="254" t="s">
        <v>0</v>
      </c>
      <c r="G46" s="260">
        <v>80000000</v>
      </c>
      <c r="H46" s="250"/>
      <c r="I46" s="250"/>
      <c r="J46" s="250"/>
      <c r="K46" s="255"/>
      <c r="L46" s="251"/>
      <c r="M46" s="251"/>
      <c r="N46" s="252"/>
    </row>
    <row r="47" spans="3:14" x14ac:dyDescent="0.2">
      <c r="C47" s="286">
        <f t="shared" si="0"/>
        <v>1E-8</v>
      </c>
      <c r="D47" s="145" t="s">
        <v>1</v>
      </c>
      <c r="E47" s="262">
        <v>1</v>
      </c>
      <c r="F47" s="254" t="s">
        <v>0</v>
      </c>
      <c r="G47" s="260">
        <v>100000000</v>
      </c>
      <c r="H47" s="250"/>
      <c r="I47" s="250"/>
      <c r="J47" s="250"/>
      <c r="K47" s="255"/>
      <c r="L47" s="251"/>
      <c r="M47" s="251"/>
      <c r="N47" s="252"/>
    </row>
    <row r="48" spans="3:14" x14ac:dyDescent="0.2">
      <c r="C48" s="278"/>
      <c r="D48" s="303"/>
      <c r="E48" s="268"/>
      <c r="F48" s="269"/>
      <c r="G48" s="270"/>
      <c r="H48" s="271"/>
      <c r="I48" s="272">
        <v>1</v>
      </c>
      <c r="J48" s="273" t="s">
        <v>0</v>
      </c>
      <c r="K48" s="274">
        <v>139838160</v>
      </c>
      <c r="L48" s="275">
        <v>6</v>
      </c>
      <c r="M48" s="275" t="s">
        <v>160</v>
      </c>
      <c r="N48" s="276" t="s">
        <v>161</v>
      </c>
    </row>
  </sheetData>
  <sheetProtection algorithmName="SHA-512" hashValue="I7Bo3wo58/OsW4NZIydoaRbNWkU3ceCcY4Xe+08BK4WqUd9ot2ajnb3gGUrcoGmlKAr1NlB6S4FvIABwPzAw2A==" saltValue="oh0MAsTv7H0CoQpuRw03Lg==" spinCount="100000" sheet="1" objects="1" scenarios="1"/>
  <mergeCells count="8">
    <mergeCell ref="C3:G3"/>
    <mergeCell ref="H3:N3"/>
    <mergeCell ref="C2:N2"/>
    <mergeCell ref="H4:N4"/>
    <mergeCell ref="H5:K5"/>
    <mergeCell ref="L5:N5"/>
    <mergeCell ref="C5:G5"/>
    <mergeCell ref="C4:G4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Dateneingabe (HIER BEFÜLLEN!)</vt:lpstr>
      <vt:lpstr>Risiko für Deutschland</vt:lpstr>
      <vt:lpstr>Risiko für Bundesland</vt:lpstr>
      <vt:lpstr>Risiko für Landkreis, Stadt</vt:lpstr>
      <vt:lpstr>Würdigung - FAZIT</vt:lpstr>
      <vt:lpstr>allg.Daten</vt:lpstr>
      <vt:lpstr>Covid19+Lotto</vt:lpstr>
      <vt:lpstr>'Dateneingabe (HIER BEFÜLLEN!)'!Druckbereich</vt:lpstr>
      <vt:lpstr>'Risiko für Bundesland'!Druckbereich</vt:lpstr>
      <vt:lpstr>'Risiko für Deutschland'!Druckbereich</vt:lpstr>
      <vt:lpstr>'Risiko für Landkreis, Stadt'!Druckbereich</vt:lpstr>
      <vt:lpstr>allg.Daten!Print_Area</vt:lpstr>
      <vt:lpstr>'Dateneingabe (HIER BEFÜLLEN!)'!Print_Area</vt:lpstr>
      <vt:lpstr>'Risiko für Bundesland'!Print_Area</vt:lpstr>
      <vt:lpstr>'Risiko für Deutschland'!Print_Area</vt:lpstr>
      <vt:lpstr>'Risiko für Landkreis, Stadt'!Print_Area</vt:lpstr>
      <vt:lpstr>'Würdigung - FAZIT'!Print_Area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Loose</dc:creator>
  <cp:lastModifiedBy>Andreas Horn</cp:lastModifiedBy>
  <cp:lastPrinted>2020-06-25T21:00:05Z</cp:lastPrinted>
  <dcterms:created xsi:type="dcterms:W3CDTF">2020-05-26T07:00:34Z</dcterms:created>
  <dcterms:modified xsi:type="dcterms:W3CDTF">2020-07-29T19:10:35Z</dcterms:modified>
</cp:coreProperties>
</file>